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20" windowWidth="15180" windowHeight="9345" tabRatio="879" activeTab="0"/>
  </bookViews>
  <sheets>
    <sheet name="1. menu" sheetId="1" r:id="rId1"/>
    <sheet name="2. stralen bij bolle lens" sheetId="2" r:id="rId2"/>
    <sheet name="3. oog" sheetId="3" r:id="rId3"/>
    <sheet name="3 stralen bij holle lens" sheetId="4" state="hidden" r:id="rId4"/>
    <sheet name="4 voorwerp ver weg" sheetId="5" r:id="rId5"/>
  </sheets>
  <definedNames/>
  <calcPr fullCalcOnLoad="1"/>
</workbook>
</file>

<file path=xl/sharedStrings.xml><?xml version="1.0" encoding="utf-8"?>
<sst xmlns="http://schemas.openxmlformats.org/spreadsheetml/2006/main" count="378" uniqueCount="108">
  <si>
    <t>cm</t>
  </si>
  <si>
    <t>BB' =</t>
  </si>
  <si>
    <t>N =</t>
  </si>
  <si>
    <t>x</t>
  </si>
  <si>
    <t>y</t>
  </si>
  <si>
    <t>F1</t>
  </si>
  <si>
    <t>F2</t>
  </si>
  <si>
    <t>Reel beeld</t>
  </si>
  <si>
    <t>constr.straal 1</t>
  </si>
  <si>
    <t>Lens: D =</t>
  </si>
  <si>
    <t xml:space="preserve">BB' </t>
  </si>
  <si>
    <t>dx1 =</t>
  </si>
  <si>
    <t>dx2 =</t>
  </si>
  <si>
    <t>rc1 =</t>
  </si>
  <si>
    <t>rc2 =</t>
  </si>
  <si>
    <t>n</t>
  </si>
  <si>
    <t>hoofdas</t>
  </si>
  <si>
    <t>constr.straal 2</t>
  </si>
  <si>
    <t>constr.straal 3</t>
  </si>
  <si>
    <t>Will. straal</t>
  </si>
  <si>
    <t>treft lens bij y =</t>
  </si>
  <si>
    <t>Virtueel beeld</t>
  </si>
  <si>
    <t>Geen beeld</t>
  </si>
  <si>
    <t>Opt. midden</t>
  </si>
  <si>
    <t>hulpstraal 1</t>
  </si>
  <si>
    <t>hulpstraal 2</t>
  </si>
  <si>
    <t>hulpstraal 3</t>
  </si>
  <si>
    <t>dx3 =</t>
  </si>
  <si>
    <t>brandpuntafstand f =</t>
  </si>
  <si>
    <t>voorwerpafstand v =</t>
  </si>
  <si>
    <t>Bundel</t>
  </si>
  <si>
    <t>dy op lens = D/</t>
  </si>
  <si>
    <t>=</t>
  </si>
  <si>
    <t>Bundel tot scherm op s =</t>
  </si>
  <si>
    <t>ds op scherm =</t>
  </si>
  <si>
    <t>rc1</t>
  </si>
  <si>
    <t>rc2</t>
  </si>
  <si>
    <t>y(lens)</t>
  </si>
  <si>
    <t>stralen:</t>
  </si>
  <si>
    <t>scherm zien:</t>
  </si>
  <si>
    <t>soort voorwerp:</t>
  </si>
  <si>
    <t>lensdiameter =</t>
  </si>
  <si>
    <t>constructiestraal 1</t>
  </si>
  <si>
    <t>constructiestraal 2</t>
  </si>
  <si>
    <t>constructiestraal 3</t>
  </si>
  <si>
    <t>stralen verlengen?</t>
  </si>
  <si>
    <t>scherm verplaatsen:</t>
  </si>
  <si>
    <t>LL':</t>
  </si>
  <si>
    <t>beeld BB'</t>
  </si>
  <si>
    <t>andere straal</t>
  </si>
  <si>
    <t>bundel zien?</t>
  </si>
  <si>
    <t>kader</t>
  </si>
  <si>
    <t>-x</t>
  </si>
  <si>
    <t>+x</t>
  </si>
  <si>
    <t>b=</t>
  </si>
  <si>
    <t>schermafstand</t>
  </si>
  <si>
    <t>=max</t>
  </si>
  <si>
    <t>=min</t>
  </si>
  <si>
    <t xml:space="preserve">b = </t>
  </si>
  <si>
    <t>v =</t>
  </si>
  <si>
    <t>f =</t>
  </si>
  <si>
    <t>scherm?</t>
  </si>
  <si>
    <t>bundel?</t>
  </si>
  <si>
    <t>-y</t>
  </si>
  <si>
    <t>y =</t>
  </si>
  <si>
    <t>+y</t>
  </si>
  <si>
    <t>willekeurige straal:</t>
  </si>
  <si>
    <t>+ teken</t>
  </si>
  <si>
    <t>h =</t>
  </si>
  <si>
    <t>L&gt;+ =</t>
  </si>
  <si>
    <t>Z =</t>
  </si>
  <si>
    <t>Bij deze instelling geldt:</t>
  </si>
  <si>
    <t>beeldafstand b =</t>
  </si>
  <si>
    <t>beeldgrootte BB' =</t>
  </si>
  <si>
    <t>Klik op één van de tab-bladen onder aan het scherm om naar het gewenste onderdeel te gaan.</t>
  </si>
  <si>
    <t>Lenzen</t>
  </si>
  <si>
    <t>Constructiestralen en lichtbundel</t>
  </si>
  <si>
    <t>1. menu</t>
  </si>
  <si>
    <t>2. Stralen bij een bolle lens</t>
  </si>
  <si>
    <t>LL':    v =</t>
  </si>
  <si>
    <t>nabijheidspunt n =</t>
  </si>
  <si>
    <t>fmax =</t>
  </si>
  <si>
    <t>fmin =</t>
  </si>
  <si>
    <t>LL'=</t>
  </si>
  <si>
    <t>Bundel zien? Ja = 1</t>
  </si>
  <si>
    <t>BB' = N*LL'</t>
  </si>
  <si>
    <t>Bundel zien?</t>
  </si>
  <si>
    <t>3. Stralen bij een normaal oog</t>
  </si>
  <si>
    <t>4. Stralen bij een holle lens</t>
  </si>
  <si>
    <t>lens</t>
  </si>
  <si>
    <t>vw</t>
  </si>
  <si>
    <t>straal 1</t>
  </si>
  <si>
    <t>straal 2</t>
  </si>
  <si>
    <t>b =</t>
  </si>
  <si>
    <t>m</t>
  </si>
  <si>
    <t>beeld</t>
  </si>
  <si>
    <t>straal door O</t>
  </si>
  <si>
    <t>cm  =</t>
  </si>
  <si>
    <t>constructiestralen</t>
  </si>
  <si>
    <t>?? Hoofdas</t>
  </si>
  <si>
    <t>door Flinks</t>
  </si>
  <si>
    <t>Constructiestralen zien?</t>
  </si>
  <si>
    <t xml:space="preserve"> </t>
  </si>
  <si>
    <t>5. Als een voorwerp "ver weg" staat zijn de stralen naar de lens evenwijdig!</t>
  </si>
  <si>
    <t>25032009</t>
  </si>
  <si>
    <t>Als je het voorwerp steeds verder weg zet, worden de stralen naar de lens steeds evenwijdiger.</t>
  </si>
  <si>
    <r>
      <t>h</t>
    </r>
    <r>
      <rPr>
        <b/>
        <vertAlign val="subscript"/>
        <sz val="14"/>
        <color indexed="57"/>
        <rFont val="Times New Roman"/>
        <family val="1"/>
      </rPr>
      <t>v</t>
    </r>
    <r>
      <rPr>
        <b/>
        <sz val="14"/>
        <color indexed="57"/>
        <rFont val="Times New Roman"/>
        <family val="1"/>
      </rPr>
      <t xml:space="preserve"> =</t>
    </r>
  </si>
  <si>
    <r>
      <t>h</t>
    </r>
    <r>
      <rPr>
        <b/>
        <vertAlign val="subscript"/>
        <sz val="14"/>
        <color indexed="57"/>
        <rFont val="Times New Roman"/>
        <family val="1"/>
      </rPr>
      <t>b</t>
    </r>
    <r>
      <rPr>
        <b/>
        <sz val="14"/>
        <color indexed="57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</si>
</sst>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30">
    <font>
      <sz val="10"/>
      <name val="Arial"/>
      <family val="0"/>
    </font>
    <font>
      <sz val="1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52"/>
      <name val="Times New Roman"/>
      <family val="1"/>
    </font>
    <font>
      <b/>
      <sz val="16"/>
      <color indexed="10"/>
      <name val="Lucida Handwriting"/>
      <family val="4"/>
    </font>
    <font>
      <b/>
      <i/>
      <sz val="10"/>
      <color indexed="58"/>
      <name val="Times New Roman"/>
      <family val="1"/>
    </font>
    <font>
      <b/>
      <sz val="16"/>
      <name val="Arial"/>
      <family val="0"/>
    </font>
    <font>
      <b/>
      <sz val="14"/>
      <color indexed="57"/>
      <name val="Times New Roman"/>
      <family val="1"/>
    </font>
    <font>
      <b/>
      <sz val="14"/>
      <color indexed="48"/>
      <name val="Times New Roman"/>
      <family val="1"/>
    </font>
    <font>
      <sz val="8"/>
      <name val="Arial"/>
      <family val="0"/>
    </font>
    <font>
      <sz val="10.5"/>
      <name val="Arial"/>
      <family val="0"/>
    </font>
    <font>
      <b/>
      <sz val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2"/>
      <name val="Arial"/>
      <family val="0"/>
    </font>
    <font>
      <b/>
      <sz val="14"/>
      <color indexed="21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 style="hair">
        <color indexed="52"/>
      </top>
      <bottom style="hair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 quotePrefix="1">
      <alignment horizontal="center"/>
    </xf>
    <xf numFmtId="167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2" fillId="2" borderId="0" xfId="0" applyFont="1" applyFill="1" applyAlignment="1" quotePrefix="1">
      <alignment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3" fillId="2" borderId="0" xfId="0" applyFont="1" applyFill="1" applyAlignment="1" quotePrefix="1">
      <alignment/>
    </xf>
    <xf numFmtId="166" fontId="13" fillId="2" borderId="0" xfId="0" applyNumberFormat="1" applyFont="1" applyFill="1" applyAlignment="1">
      <alignment horizontal="center"/>
    </xf>
    <xf numFmtId="167" fontId="13" fillId="2" borderId="0" xfId="0" applyNumberFormat="1" applyFont="1" applyFill="1" applyAlignment="1">
      <alignment/>
    </xf>
    <xf numFmtId="0" fontId="3" fillId="2" borderId="0" xfId="0" applyFont="1" applyFill="1" applyAlignment="1" quotePrefix="1">
      <alignment/>
    </xf>
    <xf numFmtId="0" fontId="7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164" fontId="7" fillId="2" borderId="4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2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Alignment="1" quotePrefix="1">
      <alignment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167" fontId="7" fillId="2" borderId="5" xfId="0" applyNumberFormat="1" applyFont="1" applyFill="1" applyBorder="1" applyAlignment="1">
      <alignment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Alignment="1">
      <alignment horizontal="center"/>
    </xf>
    <xf numFmtId="0" fontId="23" fillId="2" borderId="10" xfId="0" applyFont="1" applyFill="1" applyBorder="1" applyAlignment="1" applyProtection="1">
      <alignment horizontal="left"/>
      <protection locked="0"/>
    </xf>
    <xf numFmtId="0" fontId="23" fillId="2" borderId="10" xfId="0" applyFont="1" applyFill="1" applyBorder="1" applyAlignment="1" applyProtection="1">
      <alignment horizontal="center"/>
      <protection locked="0"/>
    </xf>
    <xf numFmtId="0" fontId="26" fillId="2" borderId="0" xfId="0" applyFont="1" applyFill="1" applyAlignment="1">
      <alignment/>
    </xf>
    <xf numFmtId="0" fontId="26" fillId="2" borderId="11" xfId="0" applyFont="1" applyFill="1" applyBorder="1" applyAlignment="1">
      <alignment/>
    </xf>
    <xf numFmtId="0" fontId="27" fillId="2" borderId="11" xfId="0" applyFont="1" applyFill="1" applyBorder="1" applyAlignment="1">
      <alignment/>
    </xf>
    <xf numFmtId="2" fontId="27" fillId="2" borderId="11" xfId="0" applyNumberFormat="1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Font="1" applyFill="1" applyAlignment="1">
      <alignment/>
    </xf>
    <xf numFmtId="164" fontId="27" fillId="2" borderId="11" xfId="0" applyNumberFormat="1" applyFont="1" applyFill="1" applyBorder="1" applyAlignment="1">
      <alignment/>
    </xf>
    <xf numFmtId="0" fontId="28" fillId="2" borderId="11" xfId="0" applyFont="1" applyFill="1" applyBorder="1" applyAlignment="1">
      <alignment/>
    </xf>
    <xf numFmtId="0" fontId="26" fillId="2" borderId="12" xfId="0" applyFont="1" applyFill="1" applyBorder="1" applyAlignment="1">
      <alignment horizontal="left"/>
    </xf>
    <xf numFmtId="164" fontId="26" fillId="2" borderId="12" xfId="0" applyNumberFormat="1" applyFont="1" applyFill="1" applyBorder="1" applyAlignment="1">
      <alignment/>
    </xf>
    <xf numFmtId="0" fontId="26" fillId="2" borderId="12" xfId="0" applyFont="1" applyFill="1" applyBorder="1" applyAlignment="1">
      <alignment/>
    </xf>
    <xf numFmtId="2" fontId="26" fillId="2" borderId="12" xfId="0" applyNumberFormat="1" applyFont="1" applyFill="1" applyBorder="1" applyAlignment="1">
      <alignment/>
    </xf>
    <xf numFmtId="1" fontId="26" fillId="2" borderId="12" xfId="0" applyNumberFormat="1" applyFont="1" applyFill="1" applyBorder="1" applyAlignment="1">
      <alignment/>
    </xf>
    <xf numFmtId="164" fontId="26" fillId="2" borderId="12" xfId="0" applyNumberFormat="1" applyFont="1" applyFill="1" applyBorder="1" applyAlignment="1">
      <alignment horizontal="left"/>
    </xf>
    <xf numFmtId="0" fontId="18" fillId="2" borderId="11" xfId="0" applyFont="1" applyFill="1" applyBorder="1" applyAlignment="1">
      <alignment/>
    </xf>
    <xf numFmtId="164" fontId="18" fillId="2" borderId="0" xfId="0" applyNumberFormat="1" applyFont="1" applyFill="1" applyAlignment="1">
      <alignment/>
    </xf>
    <xf numFmtId="167" fontId="18" fillId="2" borderId="0" xfId="0" applyNumberFormat="1" applyFont="1" applyFill="1" applyAlignment="1">
      <alignment/>
    </xf>
    <xf numFmtId="0" fontId="26" fillId="2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"/>
          <c:h val="1"/>
        </c:manualLayout>
      </c:layout>
      <c:scatterChart>
        <c:scatterStyle val="line"/>
        <c:varyColors val="0"/>
        <c:ser>
          <c:idx val="27"/>
          <c:order val="0"/>
          <c:tx>
            <c:v>bundel reeel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lens'!$BR$122:$BR$325</c:f>
              <c:numCache/>
            </c:numRef>
          </c:xVal>
          <c:yVal>
            <c:numRef>
              <c:f>'2. stralen bij bolle lens'!$BS$122:$BS$325</c:f>
              <c:numCache/>
            </c:numRef>
          </c:yVal>
          <c:smooth val="0"/>
        </c:ser>
        <c:ser>
          <c:idx val="16"/>
          <c:order val="1"/>
          <c:tx>
            <c:v>virt. beeld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9900"/>
                </a:solidFill>
                <a:prstDash val="dash"/>
              </a:ln>
            </c:spPr>
            <c:marker>
              <c:symbol val="circle"/>
              <c:size val="4"/>
              <c:spPr>
                <a:solidFill>
                  <a:srgbClr val="FFFFFF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'2. stralen bij bolle lens'!$BU$22:$BU$23</c:f>
              <c:numCache/>
            </c:numRef>
          </c:xVal>
          <c:yVal>
            <c:numRef>
              <c:f>'2. stralen bij bolle lens'!$BV$22:$BV$23</c:f>
              <c:numCache/>
            </c:numRef>
          </c:yVal>
          <c:smooth val="0"/>
        </c:ser>
        <c:ser>
          <c:idx val="0"/>
          <c:order val="2"/>
          <c:tx>
            <c:v>straal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lens'!$BO$29:$BO$39</c:f>
              <c:numCache/>
            </c:numRef>
          </c:xVal>
          <c:yVal>
            <c:numRef>
              <c:f>'2. stralen bij bolle lens'!$BP$29:$BP$39</c:f>
              <c:numCache/>
            </c:numRef>
          </c:yVal>
          <c:smooth val="0"/>
        </c:ser>
        <c:ser>
          <c:idx val="2"/>
          <c:order val="3"/>
          <c:tx>
            <c:v>LL'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'2. stralen bij bolle lens'!$BN$11:$BN$12</c:f>
              <c:numCache/>
            </c:numRef>
          </c:xVal>
          <c:yVal>
            <c:numRef>
              <c:f>'2. stralen bij bolle lens'!$BO$11:$BO$12</c:f>
              <c:numCache/>
            </c:numRef>
          </c:yVal>
          <c:smooth val="0"/>
        </c:ser>
        <c:ser>
          <c:idx val="5"/>
          <c:order val="4"/>
          <c:tx>
            <c:v>straal 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lens'!$BO$45:$BO$55</c:f>
              <c:numCache/>
            </c:numRef>
          </c:xVal>
          <c:yVal>
            <c:numRef>
              <c:f>'2. stralen bij bolle lens'!$BP$45:$BP$55</c:f>
              <c:numCache/>
            </c:numRef>
          </c:yVal>
          <c:smooth val="0"/>
        </c:ser>
        <c:ser>
          <c:idx val="6"/>
          <c:order val="5"/>
          <c:tx>
            <c:v>straal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lens'!$BO$45:$BO$55</c:f>
              <c:numCache/>
            </c:numRef>
          </c:xVal>
          <c:yVal>
            <c:numRef>
              <c:f>'2. stralen bij bolle lens'!$BP$45:$BP$55</c:f>
              <c:numCache/>
            </c:numRef>
          </c:yVal>
          <c:smooth val="0"/>
        </c:ser>
        <c:ser>
          <c:idx val="7"/>
          <c:order val="6"/>
          <c:tx>
            <c:v>straal 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lens'!$BO$61:$BO$71</c:f>
              <c:numCache/>
            </c:numRef>
          </c:xVal>
          <c:yVal>
            <c:numRef>
              <c:f>'2. stralen bij bolle lens'!$BP$61:$BP$71</c:f>
              <c:numCache/>
            </c:numRef>
          </c:yVal>
          <c:smooth val="0"/>
        </c:ser>
        <c:ser>
          <c:idx val="8"/>
          <c:order val="7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 stralen bij bolle lens'!$BN$17</c:f>
              <c:numCache/>
            </c:numRef>
          </c:xVal>
          <c:yVal>
            <c:numRef>
              <c:f>'2. stralen bij bolle lens'!$BO$17</c:f>
              <c:numCache/>
            </c:numRef>
          </c:yVal>
          <c:smooth val="0"/>
        </c:ser>
        <c:ser>
          <c:idx val="9"/>
          <c:order val="8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 stralen bij bolle lens'!$BN$18</c:f>
              <c:numCache/>
            </c:numRef>
          </c:xVal>
          <c:yVal>
            <c:numRef>
              <c:f>'2. stralen bij bolle lens'!$BO$18</c:f>
              <c:numCache/>
            </c:numRef>
          </c:yVal>
          <c:smooth val="0"/>
        </c:ser>
        <c:ser>
          <c:idx val="10"/>
          <c:order val="9"/>
          <c:tx>
            <c:v>will straal reel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lens'!$BO$78:$BO$88</c:f>
              <c:numCache/>
            </c:numRef>
          </c:xVal>
          <c:yVal>
            <c:numRef>
              <c:f>'2. stralen bij bolle lens'!$BP$78:$BP$88</c:f>
              <c:numCache/>
            </c:numRef>
          </c:yVal>
          <c:smooth val="0"/>
        </c:ser>
        <c:ser>
          <c:idx val="11"/>
          <c:order val="10"/>
          <c:tx>
            <c:v>straal 1 virt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lens'!$BV$29:$BV$39</c:f>
              <c:numCache/>
            </c:numRef>
          </c:xVal>
          <c:yVal>
            <c:numRef>
              <c:f>'2. stralen bij bolle lens'!$BW$29:$BW$39</c:f>
              <c:numCache/>
            </c:numRef>
          </c:yVal>
          <c:smooth val="0"/>
        </c:ser>
        <c:ser>
          <c:idx val="12"/>
          <c:order val="11"/>
          <c:tx>
            <c:v>straal 2 virt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lens'!$BV$45:$BV$55</c:f>
              <c:numCache/>
            </c:numRef>
          </c:xVal>
          <c:yVal>
            <c:numRef>
              <c:f>'2. stralen bij bolle lens'!$BW$45:$BW$55</c:f>
              <c:numCache/>
            </c:numRef>
          </c:yVal>
          <c:smooth val="0"/>
        </c:ser>
        <c:ser>
          <c:idx val="13"/>
          <c:order val="12"/>
          <c:tx>
            <c:v>straal 3 virt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lens'!$BV$61:$BV$71</c:f>
              <c:numCache/>
            </c:numRef>
          </c:xVal>
          <c:yVal>
            <c:numRef>
              <c:f>'2. stralen bij bolle lens'!$BW$61:$BW$71</c:f>
              <c:numCache/>
            </c:numRef>
          </c:yVal>
          <c:smooth val="0"/>
        </c:ser>
        <c:ser>
          <c:idx val="14"/>
          <c:order val="13"/>
          <c:tx>
            <c:v>straal 1 geen beeld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lens'!$CA$29:$CA$39</c:f>
              <c:numCache/>
            </c:numRef>
          </c:xVal>
          <c:yVal>
            <c:numRef>
              <c:f>'2. stralen bij bolle lens'!$CB$29:$CB$39</c:f>
              <c:numCache/>
            </c:numRef>
          </c:yVal>
          <c:smooth val="0"/>
        </c:ser>
        <c:ser>
          <c:idx val="15"/>
          <c:order val="14"/>
          <c:tx>
            <c:v>straal 2 geen beeld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lens'!$CA$45:$CA$55</c:f>
              <c:numCache/>
            </c:numRef>
          </c:xVal>
          <c:yVal>
            <c:numRef>
              <c:f>'2. stralen bij bolle lens'!$CB$45:$CB$55</c:f>
              <c:numCache/>
            </c:numRef>
          </c:yVal>
          <c:smooth val="0"/>
        </c:ser>
        <c:ser>
          <c:idx val="19"/>
          <c:order val="15"/>
          <c:tx>
            <c:v>will straal virt. deel 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lens'!$BV$79:$BV$84</c:f>
              <c:numCache/>
            </c:numRef>
          </c:xVal>
          <c:yVal>
            <c:numRef>
              <c:f>'2. stralen bij bolle lens'!$BW$79:$BW$84</c:f>
              <c:numCache/>
            </c:numRef>
          </c:yVal>
          <c:smooth val="0"/>
        </c:ser>
        <c:ser>
          <c:idx val="17"/>
          <c:order val="16"/>
          <c:tx>
            <c:v>hoofdas virt.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lens'!$BU$20:$BU$21</c:f>
              <c:numCache/>
            </c:numRef>
          </c:xVal>
          <c:yVal>
            <c:numRef>
              <c:f>'2. stralen bij bolle lens'!$BV$20:$BV$21</c:f>
              <c:numCache/>
            </c:numRef>
          </c:yVal>
          <c:smooth val="0"/>
        </c:ser>
        <c:ser>
          <c:idx val="18"/>
          <c:order val="17"/>
          <c:tx>
            <c:v>hoofdas geen beeld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lens'!$BZ$20:$BZ$21</c:f>
              <c:numCache/>
            </c:numRef>
          </c:xVal>
          <c:yVal>
            <c:numRef>
              <c:f>'2. stralen bij bolle lens'!$CA$20:$CA$21</c:f>
              <c:numCache/>
            </c:numRef>
          </c:yVal>
          <c:smooth val="0"/>
        </c:ser>
        <c:ser>
          <c:idx val="4"/>
          <c:order val="18"/>
          <c:tx>
            <c:v>hoofdas reeel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lens'!$BN$20:$BN$21</c:f>
              <c:numCache/>
            </c:numRef>
          </c:xVal>
          <c:yVal>
            <c:numRef>
              <c:f>'2. stralen bij bolle lens'!$BO$20:$BO$21</c:f>
              <c:numCache/>
            </c:numRef>
          </c:yVal>
          <c:smooth val="0"/>
        </c:ser>
        <c:ser>
          <c:idx val="21"/>
          <c:order val="19"/>
          <c:tx>
            <c:v>hulpstr. 1 virt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lens'!$BV$101:$BV$102</c:f>
              <c:numCache/>
            </c:numRef>
          </c:xVal>
          <c:yVal>
            <c:numRef>
              <c:f>'2. stralen bij bolle lens'!$BW$101:$BW$102</c:f>
              <c:numCache/>
            </c:numRef>
          </c:yVal>
          <c:smooth val="0"/>
        </c:ser>
        <c:ser>
          <c:idx val="22"/>
          <c:order val="20"/>
          <c:tx>
            <c:v>hulpstr 2 virt</c:v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lens'!$BV$108:$BV$109</c:f>
              <c:numCache/>
            </c:numRef>
          </c:xVal>
          <c:yVal>
            <c:numRef>
              <c:f>'2. stralen bij bolle lens'!$BW$108:$BW$109</c:f>
              <c:numCache/>
            </c:numRef>
          </c:yVal>
          <c:smooth val="0"/>
        </c:ser>
        <c:ser>
          <c:idx val="23"/>
          <c:order val="21"/>
          <c:tx>
            <c:v>huplstr. 3 virt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lens'!$BV$115:$BV$116</c:f>
              <c:numCache/>
            </c:numRef>
          </c:xVal>
          <c:yVal>
            <c:numRef>
              <c:f>'2. stralen bij bolle lens'!$BW$115:$BW$116</c:f>
              <c:numCache/>
            </c:numRef>
          </c:yVal>
          <c:smooth val="0"/>
        </c:ser>
        <c:ser>
          <c:idx val="24"/>
          <c:order val="22"/>
          <c:tx>
            <c:v>will. straal deel 2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lens'!$BV$85:$BV$90</c:f>
              <c:numCache/>
            </c:numRef>
          </c:xVal>
          <c:yVal>
            <c:numRef>
              <c:f>'2. stralen bij bolle lens'!$BW$85:$BW$90</c:f>
              <c:numCache/>
            </c:numRef>
          </c:yVal>
          <c:smooth val="0"/>
        </c:ser>
        <c:ser>
          <c:idx val="25"/>
          <c:order val="23"/>
          <c:tx>
            <c:v>will. straal deel 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lens'!$BV$90:$BV$95</c:f>
              <c:numCache/>
            </c:numRef>
          </c:xVal>
          <c:yVal>
            <c:numRef>
              <c:f>'2. stralen bij bolle lens'!$BW$90:$BW$95</c:f>
              <c:numCache/>
            </c:numRef>
          </c:yVal>
          <c:smooth val="0"/>
        </c:ser>
        <c:ser>
          <c:idx val="26"/>
          <c:order val="24"/>
          <c:tx>
            <c:v>will. straal geen beeld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lens'!$CA$78:$CA$88</c:f>
              <c:numCache/>
            </c:numRef>
          </c:xVal>
          <c:yVal>
            <c:numRef>
              <c:f>'2. stralen bij bolle lens'!$CB$78:$CB$88</c:f>
              <c:numCache/>
            </c:numRef>
          </c:yVal>
          <c:smooth val="0"/>
        </c:ser>
        <c:ser>
          <c:idx val="28"/>
          <c:order val="25"/>
          <c:tx>
            <c:v>scherm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lens'!$BN$93:$BN$94</c:f>
              <c:numCache/>
            </c:numRef>
          </c:xVal>
          <c:yVal>
            <c:numRef>
              <c:f>'2. stralen bij bolle lens'!$BO$93:$BO$94</c:f>
              <c:numCache/>
            </c:numRef>
          </c:yVal>
          <c:smooth val="0"/>
        </c:ser>
        <c:ser>
          <c:idx val="3"/>
          <c:order val="26"/>
          <c:tx>
            <c:v>BB' reeel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9900"/>
                </a:solidFill>
              </a:ln>
            </c:spPr>
            <c:marker>
              <c:symbol val="circle"/>
              <c:size val="4"/>
              <c:spPr>
                <a:solidFill>
                  <a:srgbClr val="FFFFFF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'2. stralen bij bolle lens'!$BN$22:$BN$23</c:f>
              <c:numCache/>
            </c:numRef>
          </c:xVal>
          <c:yVal>
            <c:numRef>
              <c:f>'2. stralen bij bolle lens'!$BO$22:$BO$23</c:f>
              <c:numCache/>
            </c:numRef>
          </c:yVal>
          <c:smooth val="0"/>
        </c:ser>
        <c:ser>
          <c:idx val="1"/>
          <c:order val="27"/>
          <c:tx>
            <c:v>lens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lens'!$BN$9:$BN$10</c:f>
              <c:numCache/>
            </c:numRef>
          </c:xVal>
          <c:yVal>
            <c:numRef>
              <c:f>'2. stralen bij bolle lens'!$BO$9:$BO$10</c:f>
              <c:numCache/>
            </c:numRef>
          </c:yVal>
          <c:smooth val="0"/>
        </c:ser>
        <c:ser>
          <c:idx val="20"/>
          <c:order val="28"/>
          <c:tx>
            <c:v>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'2. stralen bij bolle lens'!$BN$13</c:f>
              <c:numCache/>
            </c:numRef>
          </c:xVal>
          <c:yVal>
            <c:numRef>
              <c:f>'2. stralen bij bolle lens'!$BO$13</c:f>
              <c:numCache/>
            </c:numRef>
          </c:yVal>
          <c:smooth val="0"/>
        </c:ser>
        <c:ser>
          <c:idx val="29"/>
          <c:order val="29"/>
          <c:tx>
            <c:v>kader beeld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lens'!$BO$101:$BO$105</c:f>
              <c:numCache/>
            </c:numRef>
          </c:xVal>
          <c:yVal>
            <c:numRef>
              <c:f>'2. stralen bij bolle lens'!$BP$101:$BP$105</c:f>
              <c:numCache/>
            </c:numRef>
          </c:yVal>
          <c:smooth val="0"/>
        </c:ser>
        <c:ser>
          <c:idx val="30"/>
          <c:order val="30"/>
          <c:tx>
            <c:v>+ teken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lens'!$BR$10:$BR$14</c:f>
              <c:numCache/>
            </c:numRef>
          </c:xVal>
          <c:yVal>
            <c:numRef>
              <c:f>'2. stralen bij bolle lens'!$BS$10:$BS$14</c:f>
              <c:numCache/>
            </c:numRef>
          </c:yVal>
          <c:smooth val="0"/>
        </c:ser>
        <c:axId val="57393048"/>
        <c:axId val="46775385"/>
      </c:scatterChart>
      <c:valAx>
        <c:axId val="5739304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6775385"/>
        <c:crosses val="autoZero"/>
        <c:crossBetween val="midCat"/>
        <c:dispUnits/>
        <c:majorUnit val="1.2144000000000024"/>
        <c:minorUnit val="1.2144000000000024"/>
      </c:valAx>
      <c:valAx>
        <c:axId val="4677538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739304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0" scaled="1"/>
    </a:gra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"/>
          <c:h val="1"/>
        </c:manualLayout>
      </c:layout>
      <c:scatterChart>
        <c:scatterStyle val="line"/>
        <c:varyColors val="0"/>
        <c:ser>
          <c:idx val="27"/>
          <c:order val="0"/>
          <c:tx>
            <c:v>bundel reeel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oog'!$BR$122:$BR$325</c:f>
              <c:numCache/>
            </c:numRef>
          </c:xVal>
          <c:yVal>
            <c:numRef>
              <c:f>'3. oog'!$BS$122:$BS$325</c:f>
              <c:numCache/>
            </c:numRef>
          </c:yVal>
          <c:smooth val="0"/>
        </c:ser>
        <c:ser>
          <c:idx val="0"/>
          <c:order val="1"/>
          <c:tx>
            <c:v>straal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oog'!$BO$29:$BO$39</c:f>
              <c:numCache/>
            </c:numRef>
          </c:xVal>
          <c:yVal>
            <c:numRef>
              <c:f>'3. oog'!$BP$29:$BP$39</c:f>
              <c:numCache/>
            </c:numRef>
          </c:yVal>
          <c:smooth val="0"/>
        </c:ser>
        <c:ser>
          <c:idx val="2"/>
          <c:order val="2"/>
          <c:tx>
            <c:v>LL'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'3. oog'!$BN$11:$BN$12</c:f>
              <c:numCache/>
            </c:numRef>
          </c:xVal>
          <c:yVal>
            <c:numRef>
              <c:f>'3. oog'!$BO$11:$BO$12</c:f>
              <c:numCache/>
            </c:numRef>
          </c:yVal>
          <c:smooth val="0"/>
        </c:ser>
        <c:ser>
          <c:idx val="5"/>
          <c:order val="3"/>
          <c:tx>
            <c:v>straal 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oog'!$BO$45:$BO$55</c:f>
              <c:numCache/>
            </c:numRef>
          </c:xVal>
          <c:yVal>
            <c:numRef>
              <c:f>'3. oog'!$BP$45:$BP$55</c:f>
              <c:numCache/>
            </c:numRef>
          </c:yVal>
          <c:smooth val="0"/>
        </c:ser>
        <c:ser>
          <c:idx val="6"/>
          <c:order val="4"/>
          <c:tx>
            <c:v>straal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oog'!$BO$45:$BO$55</c:f>
              <c:numCache/>
            </c:numRef>
          </c:xVal>
          <c:yVal>
            <c:numRef>
              <c:f>'3. oog'!$BP$45:$BP$55</c:f>
              <c:numCache/>
            </c:numRef>
          </c:yVal>
          <c:smooth val="0"/>
        </c:ser>
        <c:ser>
          <c:idx val="7"/>
          <c:order val="5"/>
          <c:tx>
            <c:v>straal 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oog'!$BO$61:$BO$71</c:f>
              <c:numCache/>
            </c:numRef>
          </c:xVal>
          <c:yVal>
            <c:numRef>
              <c:f>'3. oog'!$BP$61:$BP$71</c:f>
              <c:numCache/>
            </c:numRef>
          </c:yVal>
          <c:smooth val="0"/>
        </c:ser>
        <c:ser>
          <c:idx val="8"/>
          <c:order val="6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'3. oog'!$BN$17</c:f>
              <c:numCache/>
            </c:numRef>
          </c:xVal>
          <c:yVal>
            <c:numRef>
              <c:f>'3. oog'!$BO$17</c:f>
              <c:numCache/>
            </c:numRef>
          </c:yVal>
          <c:smooth val="0"/>
        </c:ser>
        <c:ser>
          <c:idx val="9"/>
          <c:order val="7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'3. oog'!$BN$18</c:f>
              <c:numCache/>
            </c:numRef>
          </c:xVal>
          <c:yVal>
            <c:numRef>
              <c:f>'3. oog'!$BO$18</c:f>
              <c:numCache/>
            </c:numRef>
          </c:yVal>
          <c:smooth val="0"/>
        </c:ser>
        <c:ser>
          <c:idx val="4"/>
          <c:order val="8"/>
          <c:tx>
            <c:v>hoofdas reeel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oog'!$BN$20:$BN$21</c:f>
              <c:numCache/>
            </c:numRef>
          </c:xVal>
          <c:yVal>
            <c:numRef>
              <c:f>'3. oog'!$BO$20:$BO$21</c:f>
              <c:numCache/>
            </c:numRef>
          </c:yVal>
          <c:smooth val="0"/>
        </c:ser>
        <c:ser>
          <c:idx val="28"/>
          <c:order val="9"/>
          <c:tx>
            <c:v>scherm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oog'!$BN$93:$BN$94</c:f>
              <c:numCache/>
            </c:numRef>
          </c:xVal>
          <c:yVal>
            <c:numRef>
              <c:f>'3. oog'!$BO$93:$BO$94</c:f>
              <c:numCache/>
            </c:numRef>
          </c:yVal>
          <c:smooth val="0"/>
        </c:ser>
        <c:ser>
          <c:idx val="3"/>
          <c:order val="10"/>
          <c:tx>
            <c:v>BB' reeel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9900"/>
                </a:solidFill>
              </a:ln>
            </c:spPr>
            <c:marker>
              <c:symbol val="circle"/>
              <c:size val="4"/>
              <c:spPr>
                <a:solidFill>
                  <a:srgbClr val="FFFFFF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'3. oog'!$BN$22:$BN$23</c:f>
              <c:numCache/>
            </c:numRef>
          </c:xVal>
          <c:yVal>
            <c:numRef>
              <c:f>'3. oog'!$BO$22:$BO$23</c:f>
              <c:numCache/>
            </c:numRef>
          </c:yVal>
          <c:smooth val="0"/>
        </c:ser>
        <c:ser>
          <c:idx val="1"/>
          <c:order val="11"/>
          <c:tx>
            <c:v>lens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oog'!$BN$9:$BN$10</c:f>
              <c:numCache/>
            </c:numRef>
          </c:xVal>
          <c:yVal>
            <c:numRef>
              <c:f>'3. oog'!$BO$9:$BO$10</c:f>
              <c:numCache/>
            </c:numRef>
          </c:yVal>
          <c:smooth val="0"/>
        </c:ser>
        <c:ser>
          <c:idx val="20"/>
          <c:order val="12"/>
          <c:tx>
            <c:v>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'3. oog'!$BN$13</c:f>
              <c:numCache/>
            </c:numRef>
          </c:xVal>
          <c:yVal>
            <c:numRef>
              <c:f>'3. oog'!$BO$13</c:f>
              <c:numCache/>
            </c:numRef>
          </c:yVal>
          <c:smooth val="0"/>
        </c:ser>
        <c:ser>
          <c:idx val="29"/>
          <c:order val="13"/>
          <c:tx>
            <c:v>kader beeld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oog'!$BO$101:$BO$105</c:f>
              <c:numCache/>
            </c:numRef>
          </c:xVal>
          <c:yVal>
            <c:numRef>
              <c:f>'3. oog'!$BP$101:$BP$105</c:f>
              <c:numCache/>
            </c:numRef>
          </c:yVal>
          <c:smooth val="0"/>
        </c:ser>
        <c:axId val="18325282"/>
        <c:axId val="30709811"/>
      </c:scatterChart>
      <c:valAx>
        <c:axId val="18325282"/>
        <c:scaling>
          <c:orientation val="minMax"/>
          <c:max val="5"/>
          <c:min val="-5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709811"/>
        <c:crosses val="autoZero"/>
        <c:crossBetween val="midCat"/>
        <c:dispUnits/>
        <c:majorUnit val="10"/>
        <c:minorUnit val="1.2144"/>
      </c:valAx>
      <c:valAx>
        <c:axId val="30709811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832528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v>hoofdas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weg'!$AA$26:$AA$27</c:f>
              <c:numCache/>
            </c:numRef>
          </c:xVal>
          <c:yVal>
            <c:numRef>
              <c:f>'4 voorwerp ver weg'!$AB$26:$AB$27</c:f>
              <c:numCache/>
            </c:numRef>
          </c:yVal>
          <c:smooth val="0"/>
        </c:ser>
        <c:ser>
          <c:idx val="1"/>
          <c:order val="1"/>
          <c:tx>
            <c:v>lens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weg'!$AA$29:$AA$30</c:f>
              <c:numCache/>
            </c:numRef>
          </c:xVal>
          <c:yVal>
            <c:numRef>
              <c:f>'4 voorwerp ver weg'!$AB$29:$AB$30</c:f>
              <c:numCache/>
            </c:numRef>
          </c:yVal>
          <c:smooth val="0"/>
        </c:ser>
        <c:ser>
          <c:idx val="3"/>
          <c:order val="2"/>
          <c:tx>
            <c:v>straal 1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weg'!$AA$34:$AA$36</c:f>
              <c:numCache/>
            </c:numRef>
          </c:xVal>
          <c:yVal>
            <c:numRef>
              <c:f>'4 voorwerp ver weg'!$AB$34:$AB$36</c:f>
              <c:numCache/>
            </c:numRef>
          </c:yVal>
          <c:smooth val="0"/>
        </c:ser>
        <c:ser>
          <c:idx val="4"/>
          <c:order val="3"/>
          <c:tx>
            <c:v>straal 2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weg'!$AA$38:$AA$40</c:f>
              <c:numCache/>
            </c:numRef>
          </c:xVal>
          <c:yVal>
            <c:numRef>
              <c:f>'4 voorwerp ver weg'!$AB$38:$AB$40</c:f>
              <c:numCache/>
            </c:numRef>
          </c:yVal>
          <c:smooth val="0"/>
        </c:ser>
        <c:ser>
          <c:idx val="5"/>
          <c:order val="4"/>
          <c:tx>
            <c:v>straal door O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weg'!$AA$42:$AA$43</c:f>
              <c:numCache/>
            </c:numRef>
          </c:xVal>
          <c:yVal>
            <c:numRef>
              <c:f>'4 voorwerp ver weg'!$AB$42:$AB$43</c:f>
              <c:numCache/>
            </c:numRef>
          </c:yVal>
          <c:smooth val="0"/>
        </c:ser>
        <c:ser>
          <c:idx val="6"/>
          <c:order val="5"/>
          <c:tx>
            <c:v>beeld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'4 voorwerp ver weg'!$AA$45</c:f>
              <c:numCache/>
            </c:numRef>
          </c:xVal>
          <c:yVal>
            <c:numRef>
              <c:f>'4 voorwerp ver weg'!$AB$45</c:f>
              <c:numCache/>
            </c:numRef>
          </c:yVal>
          <c:smooth val="0"/>
        </c:ser>
        <c:ser>
          <c:idx val="2"/>
          <c:order val="6"/>
          <c:tx>
            <c:v>voorwerp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'4 voorwerp ver weg'!$AA$32</c:f>
              <c:numCache/>
            </c:numRef>
          </c:xVal>
          <c:yVal>
            <c:numRef>
              <c:f>'4 voorwerp ver weg'!$AB$32</c:f>
              <c:numCache/>
            </c:numRef>
          </c:yVal>
          <c:smooth val="0"/>
        </c:ser>
        <c:ser>
          <c:idx val="7"/>
          <c:order val="7"/>
          <c:tx>
            <c:v>constr straal // hoofdas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weg'!$AA$48:$AA$50</c:f>
              <c:numCache/>
            </c:numRef>
          </c:xVal>
          <c:yVal>
            <c:numRef>
              <c:f>'4 voorwerp ver weg'!$AB$48:$AB$50</c:f>
              <c:numCache/>
            </c:numRef>
          </c:yVal>
          <c:smooth val="0"/>
        </c:ser>
        <c:ser>
          <c:idx val="8"/>
          <c:order val="8"/>
          <c:tx>
            <c:v>constr str naar Flinks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weg'!$AA$52:$AA$54</c:f>
              <c:numCache/>
            </c:numRef>
          </c:xVal>
          <c:yVal>
            <c:numRef>
              <c:f>'4 voorwerp ver weg'!$AB$52:$AB$54</c:f>
              <c:numCache/>
            </c:numRef>
          </c:yVal>
          <c:smooth val="0"/>
        </c:ser>
        <c:ser>
          <c:idx val="10"/>
          <c:order val="9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'4 voorwerp ver weg'!$AA$58</c:f>
              <c:numCache/>
            </c:numRef>
          </c:xVal>
          <c:yVal>
            <c:numRef>
              <c:f>'4 voorwerp ver weg'!$AB$58</c:f>
              <c:numCache/>
            </c:numRef>
          </c:yVal>
          <c:smooth val="0"/>
        </c:ser>
        <c:ser>
          <c:idx val="9"/>
          <c:order val="10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'4 voorwerp ver weg'!$AA$56</c:f>
              <c:numCache/>
            </c:numRef>
          </c:xVal>
          <c:yVal>
            <c:numRef>
              <c:f>'4 voorwerp ver weg'!$AB$56</c:f>
              <c:numCache/>
            </c:numRef>
          </c:yVal>
          <c:smooth val="0"/>
        </c:ser>
        <c:axId val="7952844"/>
        <c:axId val="4466733"/>
      </c:scatterChart>
      <c:valAx>
        <c:axId val="7952844"/>
        <c:scaling>
          <c:orientation val="minMax"/>
          <c:max val="15"/>
          <c:min val="-10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crossBetween val="midCat"/>
        <c:dispUnits/>
      </c:valAx>
      <c:valAx>
        <c:axId val="4466733"/>
        <c:scaling>
          <c:orientation val="minMax"/>
          <c:max val="6"/>
          <c:min val="-6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9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5</xdr:row>
      <xdr:rowOff>19050</xdr:rowOff>
    </xdr:from>
    <xdr:to>
      <xdr:col>13</xdr:col>
      <xdr:colOff>495300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828675"/>
          <a:ext cx="1038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66675</xdr:rowOff>
    </xdr:from>
    <xdr:to>
      <xdr:col>16</xdr:col>
      <xdr:colOff>19050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95250" y="1200150"/>
        <a:ext cx="94202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2</xdr:row>
      <xdr:rowOff>47625</xdr:rowOff>
    </xdr:from>
    <xdr:to>
      <xdr:col>4</xdr:col>
      <xdr:colOff>628650</xdr:colOff>
      <xdr:row>3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47625</xdr:rowOff>
    </xdr:from>
    <xdr:to>
      <xdr:col>4</xdr:col>
      <xdr:colOff>628650</xdr:colOff>
      <xdr:row>4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5619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47625</xdr:rowOff>
    </xdr:from>
    <xdr:to>
      <xdr:col>7</xdr:col>
      <xdr:colOff>628650</xdr:colOff>
      <xdr:row>2</xdr:row>
      <xdr:rowOff>9525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1428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47625</xdr:rowOff>
    </xdr:from>
    <xdr:to>
      <xdr:col>7</xdr:col>
      <xdr:colOff>628650</xdr:colOff>
      <xdr:row>3</xdr:row>
      <xdr:rowOff>9525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38100</xdr:rowOff>
    </xdr:from>
    <xdr:to>
      <xdr:col>7</xdr:col>
      <xdr:colOff>619125</xdr:colOff>
      <xdr:row>3</xdr:row>
      <xdr:rowOff>209550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552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38100</xdr:rowOff>
    </xdr:from>
    <xdr:to>
      <xdr:col>4</xdr:col>
      <xdr:colOff>628650</xdr:colOff>
      <xdr:row>6</xdr:row>
      <xdr:rowOff>9525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38100</xdr:rowOff>
    </xdr:from>
    <xdr:to>
      <xdr:col>7</xdr:col>
      <xdr:colOff>628650</xdr:colOff>
      <xdr:row>6</xdr:row>
      <xdr:rowOff>9525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47625</xdr:rowOff>
    </xdr:from>
    <xdr:to>
      <xdr:col>11</xdr:col>
      <xdr:colOff>628650</xdr:colOff>
      <xdr:row>3</xdr:row>
      <xdr:rowOff>9525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38100</xdr:rowOff>
    </xdr:from>
    <xdr:to>
      <xdr:col>15</xdr:col>
      <xdr:colOff>628650</xdr:colOff>
      <xdr:row>2</xdr:row>
      <xdr:rowOff>209550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3429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38100</xdr:rowOff>
    </xdr:from>
    <xdr:to>
      <xdr:col>7</xdr:col>
      <xdr:colOff>628650</xdr:colOff>
      <xdr:row>4</xdr:row>
      <xdr:rowOff>209550</xdr:rowOff>
    </xdr:to>
    <xdr:pic>
      <xdr:nvPicPr>
        <xdr:cNvPr id="11" name="ScrollBar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7620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57150</xdr:rowOff>
    </xdr:from>
    <xdr:to>
      <xdr:col>4</xdr:col>
      <xdr:colOff>628650</xdr:colOff>
      <xdr:row>2</xdr:row>
      <xdr:rowOff>19050</xdr:rowOff>
    </xdr:to>
    <xdr:pic>
      <xdr:nvPicPr>
        <xdr:cNvPr id="12" name="ScrollBar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24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38100</xdr:rowOff>
    </xdr:from>
    <xdr:to>
      <xdr:col>15</xdr:col>
      <xdr:colOff>628650</xdr:colOff>
      <xdr:row>3</xdr:row>
      <xdr:rowOff>209550</xdr:rowOff>
    </xdr:to>
    <xdr:pic>
      <xdr:nvPicPr>
        <xdr:cNvPr id="13" name="ScrollBar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77300" y="552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</xdr:row>
      <xdr:rowOff>28575</xdr:rowOff>
    </xdr:from>
    <xdr:to>
      <xdr:col>15</xdr:col>
      <xdr:colOff>628650</xdr:colOff>
      <xdr:row>1</xdr:row>
      <xdr:rowOff>200025</xdr:rowOff>
    </xdr:to>
    <xdr:pic>
      <xdr:nvPicPr>
        <xdr:cNvPr id="14" name="ScrollBar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123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47625</xdr:rowOff>
    </xdr:from>
    <xdr:to>
      <xdr:col>4</xdr:col>
      <xdr:colOff>628650</xdr:colOff>
      <xdr:row>5</xdr:row>
      <xdr:rowOff>9525</xdr:rowOff>
    </xdr:to>
    <xdr:pic>
      <xdr:nvPicPr>
        <xdr:cNvPr id="15" name="ScrollBar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7715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38100</xdr:rowOff>
    </xdr:from>
    <xdr:to>
      <xdr:col>11</xdr:col>
      <xdr:colOff>628650</xdr:colOff>
      <xdr:row>1</xdr:row>
      <xdr:rowOff>209550</xdr:rowOff>
    </xdr:to>
    <xdr:pic>
      <xdr:nvPicPr>
        <xdr:cNvPr id="16" name="ScrollBar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333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16</xdr:col>
      <xdr:colOff>19050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95250" y="1333500"/>
        <a:ext cx="9458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3</xdr:row>
      <xdr:rowOff>47625</xdr:rowOff>
    </xdr:from>
    <xdr:to>
      <xdr:col>4</xdr:col>
      <xdr:colOff>628650</xdr:colOff>
      <xdr:row>4</xdr:row>
      <xdr:rowOff>9525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619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47625</xdr:rowOff>
    </xdr:from>
    <xdr:to>
      <xdr:col>7</xdr:col>
      <xdr:colOff>628650</xdr:colOff>
      <xdr:row>2</xdr:row>
      <xdr:rowOff>9525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428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47625</xdr:rowOff>
    </xdr:from>
    <xdr:to>
      <xdr:col>7</xdr:col>
      <xdr:colOff>628650</xdr:colOff>
      <xdr:row>3</xdr:row>
      <xdr:rowOff>9525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38100</xdr:rowOff>
    </xdr:from>
    <xdr:to>
      <xdr:col>7</xdr:col>
      <xdr:colOff>619125</xdr:colOff>
      <xdr:row>3</xdr:row>
      <xdr:rowOff>209550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552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38100</xdr:rowOff>
    </xdr:from>
    <xdr:to>
      <xdr:col>4</xdr:col>
      <xdr:colOff>628650</xdr:colOff>
      <xdr:row>6</xdr:row>
      <xdr:rowOff>9525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38100</xdr:rowOff>
    </xdr:from>
    <xdr:to>
      <xdr:col>7</xdr:col>
      <xdr:colOff>628650</xdr:colOff>
      <xdr:row>6</xdr:row>
      <xdr:rowOff>9525</xdr:rowOff>
    </xdr:to>
    <xdr:pic>
      <xdr:nvPicPr>
        <xdr:cNvPr id="7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57150</xdr:rowOff>
    </xdr:from>
    <xdr:to>
      <xdr:col>4</xdr:col>
      <xdr:colOff>628650</xdr:colOff>
      <xdr:row>2</xdr:row>
      <xdr:rowOff>19050</xdr:rowOff>
    </xdr:to>
    <xdr:pic>
      <xdr:nvPicPr>
        <xdr:cNvPr id="8" name="ScrollBar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1524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47625</xdr:rowOff>
    </xdr:from>
    <xdr:to>
      <xdr:col>4</xdr:col>
      <xdr:colOff>628650</xdr:colOff>
      <xdr:row>5</xdr:row>
      <xdr:rowOff>9525</xdr:rowOff>
    </xdr:to>
    <xdr:pic>
      <xdr:nvPicPr>
        <xdr:cNvPr id="9" name="ScrollBar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7715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38100</xdr:rowOff>
    </xdr:from>
    <xdr:to>
      <xdr:col>11</xdr:col>
      <xdr:colOff>628650</xdr:colOff>
      <xdr:row>1</xdr:row>
      <xdr:rowOff>209550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333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66675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95250" y="571500"/>
        <a:ext cx="9277350" cy="65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9</xdr:row>
      <xdr:rowOff>0</xdr:rowOff>
    </xdr:from>
    <xdr:to>
      <xdr:col>7</xdr:col>
      <xdr:colOff>9525</xdr:colOff>
      <xdr:row>10</xdr:row>
      <xdr:rowOff>9525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43300" y="18764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</xdr:row>
      <xdr:rowOff>28575</xdr:rowOff>
    </xdr:from>
    <xdr:to>
      <xdr:col>7</xdr:col>
      <xdr:colOff>19050</xdr:colOff>
      <xdr:row>11</xdr:row>
      <xdr:rowOff>276225</xdr:rowOff>
    </xdr:to>
    <xdr:pic>
      <xdr:nvPicPr>
        <xdr:cNvPr id="3" name="ScrollBar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52825" y="22002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6:M22"/>
  <sheetViews>
    <sheetView showGridLines="0" showRowColHeaders="0" tabSelected="1" showOutlineSymbols="0" workbookViewId="0" topLeftCell="A1">
      <pane xSplit="46" topLeftCell="AZ1" activePane="topRight" state="frozen"/>
      <selection pane="topLeft" activeCell="A1" sqref="A1"/>
      <selection pane="topRight" activeCell="H3" sqref="H3"/>
    </sheetView>
  </sheetViews>
  <sheetFormatPr defaultColWidth="9.140625" defaultRowHeight="12.75"/>
  <cols>
    <col min="1" max="1" width="6.140625" style="60" customWidth="1"/>
    <col min="2" max="16384" width="9.140625" style="60" customWidth="1"/>
  </cols>
  <sheetData>
    <row r="6" spans="2:13" ht="21.75">
      <c r="B6" s="61" t="s">
        <v>75</v>
      </c>
      <c r="M6" s="65" t="s">
        <v>104</v>
      </c>
    </row>
    <row r="7" ht="9" customHeight="1">
      <c r="B7" s="62"/>
    </row>
    <row r="8" ht="21.75">
      <c r="B8" s="61" t="s">
        <v>76</v>
      </c>
    </row>
    <row r="9" ht="12.75"/>
    <row r="10" ht="12.75"/>
    <row r="11" ht="18.75" customHeight="1">
      <c r="B11" s="63" t="s">
        <v>77</v>
      </c>
    </row>
    <row r="12" ht="18.75" customHeight="1"/>
    <row r="13" ht="18.75" customHeight="1">
      <c r="B13" s="63" t="s">
        <v>78</v>
      </c>
    </row>
    <row r="14" ht="18.75" customHeight="1">
      <c r="B14" s="63"/>
    </row>
    <row r="15" ht="18.75" customHeight="1">
      <c r="B15" s="63" t="s">
        <v>87</v>
      </c>
    </row>
    <row r="16" ht="18.75" customHeight="1">
      <c r="B16" s="63"/>
    </row>
    <row r="17" ht="18.75" customHeight="1">
      <c r="B17" s="63" t="s">
        <v>88</v>
      </c>
    </row>
    <row r="18" ht="30" customHeight="1">
      <c r="B18" s="63"/>
    </row>
    <row r="19" ht="17.25" customHeight="1">
      <c r="B19" s="63" t="s">
        <v>103</v>
      </c>
    </row>
    <row r="22" ht="18.75">
      <c r="B22" s="64" t="s">
        <v>74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B1:CB483"/>
  <sheetViews>
    <sheetView showRowColHeaders="0" showOutlineSymbols="0" workbookViewId="0" topLeftCell="A1">
      <selection activeCell="E35" sqref="E35"/>
    </sheetView>
  </sheetViews>
  <sheetFormatPr defaultColWidth="9.140625" defaultRowHeight="12.75"/>
  <cols>
    <col min="1" max="1" width="1.421875" style="1" customWidth="1"/>
    <col min="2" max="2" width="20.7109375" style="1" customWidth="1"/>
    <col min="3" max="3" width="5.00390625" style="1" bestFit="1" customWidth="1"/>
    <col min="4" max="4" width="3.7109375" style="1" bestFit="1" customWidth="1"/>
    <col min="5" max="5" width="9.57421875" style="1" customWidth="1"/>
    <col min="6" max="6" width="1.421875" style="1" customWidth="1"/>
    <col min="7" max="7" width="19.00390625" style="1" bestFit="1" customWidth="1"/>
    <col min="8" max="8" width="9.421875" style="1" customWidth="1"/>
    <col min="9" max="9" width="1.421875" style="1" customWidth="1"/>
    <col min="10" max="10" width="19.7109375" style="1" customWidth="1"/>
    <col min="11" max="11" width="6.140625" style="1" bestFit="1" customWidth="1"/>
    <col min="12" max="12" width="9.421875" style="1" customWidth="1"/>
    <col min="13" max="13" width="1.421875" style="1" customWidth="1"/>
    <col min="14" max="14" width="19.57421875" style="1" bestFit="1" customWidth="1"/>
    <col min="15" max="15" width="5.00390625" style="1" customWidth="1"/>
    <col min="16" max="16" width="9.421875" style="1" bestFit="1" customWidth="1"/>
    <col min="17" max="64" width="9.140625" style="1" customWidth="1"/>
    <col min="65" max="65" width="14.7109375" style="1" bestFit="1" customWidth="1"/>
    <col min="66" max="66" width="14.140625" style="1" bestFit="1" customWidth="1"/>
    <col min="67" max="68" width="14.421875" style="1" bestFit="1" customWidth="1"/>
    <col min="69" max="69" width="13.28125" style="1" bestFit="1" customWidth="1"/>
    <col min="70" max="70" width="16.00390625" style="1" bestFit="1" customWidth="1"/>
    <col min="71" max="71" width="9.28125" style="1" bestFit="1" customWidth="1"/>
    <col min="72" max="72" width="14.140625" style="1" bestFit="1" customWidth="1"/>
    <col min="73" max="73" width="9.28125" style="1" bestFit="1" customWidth="1"/>
    <col min="74" max="74" width="12.140625" style="1" bestFit="1" customWidth="1"/>
    <col min="75" max="75" width="13.8515625" style="1" bestFit="1" customWidth="1"/>
    <col min="76" max="76" width="9.140625" style="1" customWidth="1"/>
    <col min="77" max="78" width="9.28125" style="1" bestFit="1" customWidth="1"/>
    <col min="79" max="80" width="9.8515625" style="1" bestFit="1" customWidth="1"/>
    <col min="81" max="16384" width="9.140625" style="1" customWidth="1"/>
  </cols>
  <sheetData>
    <row r="1" spans="5:16" ht="7.5" customHeight="1">
      <c r="E1" s="55"/>
      <c r="F1" s="56"/>
      <c r="G1" s="56"/>
      <c r="H1" s="55"/>
      <c r="I1" s="56"/>
      <c r="J1" s="56"/>
      <c r="K1" s="56"/>
      <c r="L1" s="56"/>
      <c r="M1" s="56"/>
      <c r="N1" s="56"/>
      <c r="O1" s="56"/>
      <c r="P1" s="56"/>
    </row>
    <row r="2" spans="2:64" ht="16.5" customHeight="1">
      <c r="B2" s="14" t="s">
        <v>41</v>
      </c>
      <c r="C2" s="57">
        <v>9</v>
      </c>
      <c r="D2" s="14" t="s">
        <v>0</v>
      </c>
      <c r="E2" s="52"/>
      <c r="G2" s="18" t="s">
        <v>42</v>
      </c>
      <c r="H2" s="52">
        <v>0</v>
      </c>
      <c r="J2" s="14" t="s">
        <v>39</v>
      </c>
      <c r="K2" s="14" t="str">
        <f>IF(L2=1,"Ja","Nee")</f>
        <v>Ja</v>
      </c>
      <c r="L2" s="52">
        <v>1</v>
      </c>
      <c r="N2" s="53" t="s">
        <v>66</v>
      </c>
      <c r="O2" s="54"/>
      <c r="P2" s="52">
        <v>0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2:67" ht="16.5" customHeight="1">
      <c r="B3" s="22" t="s">
        <v>28</v>
      </c>
      <c r="C3" s="58">
        <v>8</v>
      </c>
      <c r="D3" s="22" t="s">
        <v>0</v>
      </c>
      <c r="E3" s="52"/>
      <c r="G3" s="15" t="s">
        <v>43</v>
      </c>
      <c r="H3" s="52">
        <v>0</v>
      </c>
      <c r="J3" s="22" t="s">
        <v>46</v>
      </c>
      <c r="K3" s="17"/>
      <c r="L3" s="52">
        <v>10</v>
      </c>
      <c r="N3" s="23" t="s">
        <v>49</v>
      </c>
      <c r="O3" s="24"/>
      <c r="P3" s="52">
        <v>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" t="s">
        <v>55</v>
      </c>
      <c r="BN3" s="5">
        <f>IF(ISERROR(BN4),0.6*C3+0.4*C3/10*L3,IF(BN4&gt;0,0.6*ABS(BN4)+0.4*ABS(BN4)/10*L3,0.6*ABS(C3)+0.4*ABS(C3)/10*L3))</f>
        <v>13.333333333333334</v>
      </c>
      <c r="BO3" s="1" t="s">
        <v>0</v>
      </c>
    </row>
    <row r="4" spans="2:67" ht="16.5" customHeight="1">
      <c r="B4" s="16" t="s">
        <v>29</v>
      </c>
      <c r="C4" s="59">
        <v>20</v>
      </c>
      <c r="D4" s="16" t="s">
        <v>0</v>
      </c>
      <c r="E4" s="52"/>
      <c r="G4" s="19" t="s">
        <v>44</v>
      </c>
      <c r="H4" s="52">
        <v>0</v>
      </c>
      <c r="J4" s="41" t="s">
        <v>71</v>
      </c>
      <c r="K4" s="42"/>
      <c r="L4" s="43"/>
      <c r="N4" s="25" t="s">
        <v>50</v>
      </c>
      <c r="O4" s="15" t="str">
        <f>IF(P4=1,"Ja","Nee")</f>
        <v>Nee</v>
      </c>
      <c r="P4" s="52">
        <v>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1" t="s">
        <v>54</v>
      </c>
      <c r="BN4" s="5">
        <f>1/(1/C3-1/C4)</f>
        <v>13.333333333333334</v>
      </c>
      <c r="BO4" s="1" t="s">
        <v>0</v>
      </c>
    </row>
    <row r="5" spans="2:14" ht="16.5" customHeight="1">
      <c r="B5" s="16" t="s">
        <v>40</v>
      </c>
      <c r="C5" s="27" t="str">
        <f>IF(E5=0,"punt","pijl")</f>
        <v>pijl</v>
      </c>
      <c r="D5" s="28"/>
      <c r="E5" s="52">
        <v>1</v>
      </c>
      <c r="G5" s="20" t="s">
        <v>45</v>
      </c>
      <c r="H5" s="52">
        <v>5</v>
      </c>
      <c r="J5" s="44" t="s">
        <v>72</v>
      </c>
      <c r="K5" s="50"/>
      <c r="L5" s="45">
        <f>IF(ISERROR(BN4),"---",BN4)</f>
        <v>13.333333333333334</v>
      </c>
      <c r="M5" s="48"/>
      <c r="N5" s="49" t="s">
        <v>0</v>
      </c>
    </row>
    <row r="6" spans="2:66" ht="15.75">
      <c r="B6" s="16" t="str">
        <f>IF(E5=0,"afstand tot hoofdas:","voorwerpgrootte LL'")</f>
        <v>voorwerpgrootte LL'</v>
      </c>
      <c r="C6" s="26">
        <f>E6/2</f>
        <v>9</v>
      </c>
      <c r="D6" s="16" t="s">
        <v>0</v>
      </c>
      <c r="E6" s="52">
        <v>18</v>
      </c>
      <c r="G6" s="21" t="s">
        <v>48</v>
      </c>
      <c r="H6" s="52">
        <v>0</v>
      </c>
      <c r="J6" s="46" t="s">
        <v>73</v>
      </c>
      <c r="K6" s="51"/>
      <c r="L6" s="47">
        <f>ABS(BN7)</f>
        <v>6.000000000000001</v>
      </c>
      <c r="M6" s="48"/>
      <c r="N6" s="49" t="s">
        <v>0</v>
      </c>
      <c r="BM6" s="1" t="s">
        <v>2</v>
      </c>
      <c r="BN6" s="5">
        <f>BN4/C4</f>
        <v>0.6666666666666667</v>
      </c>
    </row>
    <row r="7" spans="14:66" ht="15.75">
      <c r="N7" s="4"/>
      <c r="BM7" s="1" t="s">
        <v>10</v>
      </c>
      <c r="BN7" s="5">
        <f>BN6*C6</f>
        <v>6.000000000000001</v>
      </c>
    </row>
    <row r="8" spans="14:67" ht="15.75">
      <c r="N8" s="4"/>
      <c r="BN8" s="7" t="s">
        <v>3</v>
      </c>
      <c r="BO8" s="7" t="s">
        <v>4</v>
      </c>
    </row>
    <row r="9" spans="14:71" ht="15.75">
      <c r="N9" s="4"/>
      <c r="BM9" s="6" t="s">
        <v>9</v>
      </c>
      <c r="BN9" s="5">
        <v>0</v>
      </c>
      <c r="BO9" s="5">
        <f>C2/2</f>
        <v>4.5</v>
      </c>
      <c r="BP9" s="40" t="s">
        <v>67</v>
      </c>
      <c r="BQ9" s="6"/>
      <c r="BR9" s="7" t="s">
        <v>3</v>
      </c>
      <c r="BS9" s="7" t="s">
        <v>4</v>
      </c>
    </row>
    <row r="10" spans="14:71" ht="15.75">
      <c r="N10" s="4"/>
      <c r="BN10" s="5">
        <v>0</v>
      </c>
      <c r="BO10" s="5">
        <f>-BO9</f>
        <v>-4.5</v>
      </c>
      <c r="BP10" s="6" t="s">
        <v>68</v>
      </c>
      <c r="BQ10" s="11">
        <f>(BO98-BO97)/50</f>
        <v>0.42</v>
      </c>
      <c r="BR10" s="5">
        <v>0</v>
      </c>
      <c r="BS10" s="5">
        <f>BQ13-BQ10/2</f>
        <v>4.71</v>
      </c>
    </row>
    <row r="11" spans="14:71" ht="15.75">
      <c r="N11" s="4"/>
      <c r="BM11" s="6" t="s">
        <v>47</v>
      </c>
      <c r="BN11" s="5">
        <f>-C4</f>
        <v>-20</v>
      </c>
      <c r="BO11" s="5">
        <f>IF(E5=0,BO12,0)</f>
        <v>0</v>
      </c>
      <c r="BP11" s="6" t="s">
        <v>54</v>
      </c>
      <c r="BQ11" s="7">
        <f>(BO96-BO95)/100</f>
        <v>0.3866666666666667</v>
      </c>
      <c r="BR11" s="5">
        <v>0</v>
      </c>
      <c r="BS11" s="5">
        <f>BQ13+BQ10/2</f>
        <v>5.13</v>
      </c>
    </row>
    <row r="12" spans="14:71" ht="15.75">
      <c r="N12" s="4"/>
      <c r="BN12" s="5">
        <f>-C4</f>
        <v>-20</v>
      </c>
      <c r="BO12" s="5">
        <f>C6</f>
        <v>9</v>
      </c>
      <c r="BP12" s="1" t="s">
        <v>69</v>
      </c>
      <c r="BQ12" s="7">
        <f>BQ10</f>
        <v>0.42</v>
      </c>
      <c r="BR12" s="5">
        <v>0</v>
      </c>
      <c r="BS12" s="5">
        <f>BQ13</f>
        <v>4.92</v>
      </c>
    </row>
    <row r="13" spans="14:71" ht="15.75">
      <c r="N13" s="4"/>
      <c r="BM13" s="6" t="s">
        <v>23</v>
      </c>
      <c r="BN13" s="7">
        <v>0</v>
      </c>
      <c r="BO13" s="7">
        <v>0</v>
      </c>
      <c r="BP13" s="1" t="s">
        <v>70</v>
      </c>
      <c r="BQ13" s="5">
        <f>BO9+BQ12</f>
        <v>4.92</v>
      </c>
      <c r="BR13" s="5">
        <f>-BQ11/2</f>
        <v>-0.19333333333333336</v>
      </c>
      <c r="BS13" s="5">
        <f>BQ13</f>
        <v>4.92</v>
      </c>
    </row>
    <row r="14" spans="14:71" ht="15.75">
      <c r="N14" s="4"/>
      <c r="BR14" s="7">
        <f>BQ11/2</f>
        <v>0.19333333333333336</v>
      </c>
      <c r="BS14" s="5">
        <f>BQ13</f>
        <v>4.92</v>
      </c>
    </row>
    <row r="15" spans="14:71" ht="15.75">
      <c r="N15" s="4"/>
      <c r="BR15" s="7"/>
      <c r="BS15" s="7"/>
    </row>
    <row r="16" spans="14:71" ht="15.75">
      <c r="N16" s="4"/>
      <c r="BR16" s="7"/>
      <c r="BS16" s="7"/>
    </row>
    <row r="17" spans="14:67" ht="15.75">
      <c r="N17" s="4"/>
      <c r="BM17" s="6" t="s">
        <v>5</v>
      </c>
      <c r="BN17" s="5">
        <f>-C3</f>
        <v>-8</v>
      </c>
      <c r="BO17" s="5">
        <v>0</v>
      </c>
    </row>
    <row r="18" spans="14:67" ht="15.75">
      <c r="N18" s="4"/>
      <c r="BM18" s="6" t="s">
        <v>6</v>
      </c>
      <c r="BN18" s="5">
        <f>-BN17</f>
        <v>8</v>
      </c>
      <c r="BO18" s="5">
        <v>0</v>
      </c>
    </row>
    <row r="19" spans="14:77" ht="15.75">
      <c r="N19" s="4"/>
      <c r="BM19" s="6" t="s">
        <v>7</v>
      </c>
      <c r="BN19" s="7" t="s">
        <v>3</v>
      </c>
      <c r="BO19" s="7" t="s">
        <v>4</v>
      </c>
      <c r="BT19" s="6" t="s">
        <v>21</v>
      </c>
      <c r="BU19" s="7" t="s">
        <v>3</v>
      </c>
      <c r="BV19" s="7" t="s">
        <v>4</v>
      </c>
      <c r="BY19" s="6" t="s">
        <v>22</v>
      </c>
    </row>
    <row r="20" spans="14:79" ht="15.75">
      <c r="N20" s="4"/>
      <c r="BM20" s="6" t="s">
        <v>16</v>
      </c>
      <c r="BN20" s="5">
        <f>BO95</f>
        <v>-20</v>
      </c>
      <c r="BO20" s="5">
        <v>0</v>
      </c>
      <c r="BT20" s="1" t="s">
        <v>16</v>
      </c>
      <c r="BU20" s="5">
        <f>IF($BN$4&gt;0,0,BO95)</f>
        <v>0</v>
      </c>
      <c r="BV20" s="5">
        <v>0</v>
      </c>
      <c r="BY20" s="1" t="s">
        <v>16</v>
      </c>
      <c r="BZ20" s="5">
        <f>IF($C$3&lt;&gt;$C$4,0,MIN(-C3,-C4))</f>
        <v>0</v>
      </c>
      <c r="CA20" s="5">
        <v>0</v>
      </c>
    </row>
    <row r="21" spans="14:79" ht="15.75">
      <c r="N21" s="4"/>
      <c r="BN21" s="5">
        <f>BO96</f>
        <v>18.666666666666668</v>
      </c>
      <c r="BO21" s="5">
        <v>0</v>
      </c>
      <c r="BU21" s="5">
        <f>IF($BN$4&gt;0,0,BO96)</f>
        <v>0</v>
      </c>
      <c r="BV21" s="5">
        <v>0</v>
      </c>
      <c r="BZ21" s="5">
        <f>IF($C$3&lt;&gt;$C$4,0,MAX(C3))</f>
        <v>0</v>
      </c>
      <c r="CA21" s="5">
        <v>0</v>
      </c>
    </row>
    <row r="22" spans="14:74" ht="15.75">
      <c r="N22" s="4"/>
      <c r="BM22" s="6" t="s">
        <v>1</v>
      </c>
      <c r="BN22" s="5">
        <f>IF(H6=0,0,IF($BN$4&lt;0,0,BN4))</f>
        <v>0</v>
      </c>
      <c r="BO22" s="5">
        <f>IF(H6=0,0,IF(E5=0,BO23,IF($BN$4&lt;0,0,-BN7+BN7/5*(H6-1))))</f>
        <v>0</v>
      </c>
      <c r="BT22" s="1" t="s">
        <v>1</v>
      </c>
      <c r="BU22" s="5">
        <f>IF(H6=0,0,IF($BN$4&gt;0,0,BN4))</f>
        <v>0</v>
      </c>
      <c r="BV22" s="5">
        <f>IF($H$6=0,0,IF($BN$4&gt;0,0,-$BN$7))</f>
        <v>0</v>
      </c>
    </row>
    <row r="23" spans="14:74" ht="15.75">
      <c r="N23" s="4"/>
      <c r="BN23" s="5">
        <f>IF(H6=0,0,IF($BN$4&lt;0,0,BN4))</f>
        <v>0</v>
      </c>
      <c r="BO23" s="5">
        <f>IF($H$6=0,0,IF(BN4&lt;0,0,-BN7))</f>
        <v>0</v>
      </c>
      <c r="BU23" s="5">
        <f>IF(H6=0,0,IF($BN$4&gt;0,0,BN4))</f>
        <v>0</v>
      </c>
      <c r="BV23" s="5">
        <f>IF(H6=0,0,IF(E5=0,BV22,IF($BN$4&gt;0,0,-BN7+BN7/5*(H6-1))))</f>
        <v>0</v>
      </c>
    </row>
    <row r="24" spans="65:80" ht="15.75">
      <c r="BM24" s="6" t="s">
        <v>8</v>
      </c>
      <c r="BO24" s="7" t="s">
        <v>11</v>
      </c>
      <c r="BP24" s="8">
        <f>IF($BN$4&lt;0,0,$C$4/5)</f>
        <v>4</v>
      </c>
      <c r="BQ24" s="8"/>
      <c r="BR24" s="8"/>
      <c r="BT24" s="1" t="s">
        <v>8</v>
      </c>
      <c r="BV24" s="1" t="s">
        <v>11</v>
      </c>
      <c r="BW24" s="8">
        <f>IF($BN$4&gt;0,0,$C$4/5)</f>
        <v>0</v>
      </c>
      <c r="BY24" s="1" t="s">
        <v>8</v>
      </c>
      <c r="CA24" s="1" t="s">
        <v>11</v>
      </c>
      <c r="CB24" s="8">
        <f>IF($C$3&lt;&gt;$C$4,0,$C$4/5)</f>
        <v>0</v>
      </c>
    </row>
    <row r="25" spans="67:80" ht="15.75">
      <c r="BO25" s="7" t="s">
        <v>12</v>
      </c>
      <c r="BP25" s="8">
        <f>IF($BN$4&lt;0,0,BO96/5)</f>
        <v>3.7333333333333334</v>
      </c>
      <c r="BQ25" s="8"/>
      <c r="BR25" s="8"/>
      <c r="BV25" s="1" t="s">
        <v>12</v>
      </c>
      <c r="BW25" s="8">
        <f>IF($BN$4&gt;0,0,BO96/5)</f>
        <v>0</v>
      </c>
      <c r="CA25" s="1" t="s">
        <v>12</v>
      </c>
      <c r="CB25" s="8">
        <f>IF($C$3&lt;&gt;$C$4,0,BO96/5)</f>
        <v>0</v>
      </c>
    </row>
    <row r="26" spans="67:80" ht="15.75">
      <c r="BO26" s="7" t="s">
        <v>13</v>
      </c>
      <c r="BP26" s="8">
        <v>0</v>
      </c>
      <c r="BQ26" s="8"/>
      <c r="BR26" s="8"/>
      <c r="BV26" s="1" t="s">
        <v>13</v>
      </c>
      <c r="BW26" s="8">
        <v>0</v>
      </c>
      <c r="CA26" s="1" t="s">
        <v>13</v>
      </c>
      <c r="CB26" s="8">
        <v>0</v>
      </c>
    </row>
    <row r="27" spans="67:80" ht="15.75">
      <c r="BO27" s="7" t="s">
        <v>14</v>
      </c>
      <c r="BP27" s="8">
        <f>-C6/C3</f>
        <v>-1.125</v>
      </c>
      <c r="BQ27" s="8"/>
      <c r="BR27" s="8"/>
      <c r="BV27" s="1" t="s">
        <v>14</v>
      </c>
      <c r="BW27" s="8">
        <f>-C6/C3</f>
        <v>-1.125</v>
      </c>
      <c r="CA27" s="1" t="s">
        <v>14</v>
      </c>
      <c r="CB27" s="8">
        <f>-C6/C3</f>
        <v>-1.125</v>
      </c>
    </row>
    <row r="28" spans="65:80" ht="15.75">
      <c r="BM28" s="7" t="s">
        <v>15</v>
      </c>
      <c r="BO28" s="7" t="s">
        <v>3</v>
      </c>
      <c r="BP28" s="7" t="s">
        <v>4</v>
      </c>
      <c r="BQ28" s="7"/>
      <c r="BR28" s="7"/>
      <c r="BT28" s="7" t="s">
        <v>15</v>
      </c>
      <c r="BV28" s="7" t="s">
        <v>3</v>
      </c>
      <c r="BW28" s="7" t="s">
        <v>4</v>
      </c>
      <c r="BY28" s="7" t="s">
        <v>15</v>
      </c>
      <c r="CA28" s="7" t="s">
        <v>3</v>
      </c>
      <c r="CB28" s="7" t="s">
        <v>4</v>
      </c>
    </row>
    <row r="29" spans="65:80" ht="15.75">
      <c r="BM29" s="7">
        <v>0</v>
      </c>
      <c r="BN29" s="7">
        <f aca="true" t="shared" si="0" ref="BN29:BN39">MIN(BM29,$H$2)</f>
        <v>0</v>
      </c>
      <c r="BO29" s="5">
        <f>IF($BN$4&lt;0,0,-$C$4)</f>
        <v>-20</v>
      </c>
      <c r="BP29" s="5">
        <f aca="true" t="shared" si="1" ref="BP29:BP39">IF($BN$4&lt;0,0,IF(BO29&lt;=0,$BP$26*BO29+$C$6,$BP$27*BO29+$C$6))</f>
        <v>9</v>
      </c>
      <c r="BQ29" s="5"/>
      <c r="BR29" s="5"/>
      <c r="BT29" s="7">
        <v>0</v>
      </c>
      <c r="BU29" s="7">
        <f aca="true" t="shared" si="2" ref="BU29:BU39">MIN(BT29,$H$2)</f>
        <v>0</v>
      </c>
      <c r="BV29" s="5">
        <f>IF($BN$4&gt;0,0,-$C$4)</f>
        <v>0</v>
      </c>
      <c r="BW29" s="5">
        <f aca="true" t="shared" si="3" ref="BW29:BW39">IF($BN$4&gt;0,0,IF(BV29&lt;=0,$BW$26*BV29+$C$6,$BW$27*BV29+$C$6))</f>
        <v>0</v>
      </c>
      <c r="BY29" s="7">
        <v>0</v>
      </c>
      <c r="BZ29" s="7">
        <f aca="true" t="shared" si="4" ref="BZ29:BZ39">MIN(BY29,$H$2)</f>
        <v>0</v>
      </c>
      <c r="CA29" s="5">
        <f>-$C$4</f>
        <v>-20</v>
      </c>
      <c r="CB29" s="5">
        <f aca="true" t="shared" si="5" ref="CB29:CB39">IF(CA29&lt;=0,$CB$26*CA29+$C$6,$CB$27*CA29+$C$6)</f>
        <v>9</v>
      </c>
    </row>
    <row r="30" spans="65:80" ht="15.75">
      <c r="BM30" s="7">
        <v>1</v>
      </c>
      <c r="BN30" s="7">
        <f t="shared" si="0"/>
        <v>0</v>
      </c>
      <c r="BO30" s="5">
        <f>IF(BN30&lt;=5,BO29+(BN30-BN29)*$BP$24,BO29+(BN30-BN29)*$BP$25)</f>
        <v>-20</v>
      </c>
      <c r="BP30" s="5">
        <f t="shared" si="1"/>
        <v>9</v>
      </c>
      <c r="BQ30" s="5"/>
      <c r="BR30" s="5"/>
      <c r="BT30" s="7">
        <v>1</v>
      </c>
      <c r="BU30" s="7">
        <f t="shared" si="2"/>
        <v>0</v>
      </c>
      <c r="BV30" s="5">
        <f>IF(BU30&lt;=5,BV29+(BU30-BU29)*$BW$24,BV29+(BU30-BU29)*$BW$25)</f>
        <v>0</v>
      </c>
      <c r="BW30" s="5">
        <f t="shared" si="3"/>
        <v>0</v>
      </c>
      <c r="BY30" s="7">
        <v>1</v>
      </c>
      <c r="BZ30" s="7">
        <f t="shared" si="4"/>
        <v>0</v>
      </c>
      <c r="CA30" s="5">
        <f>IF(BZ30&lt;=5,CA29+(BZ30-BZ29)*$CB$24,CA29+(BZ30-BZ29)*$CB$25)</f>
        <v>-20</v>
      </c>
      <c r="CB30" s="5">
        <f t="shared" si="5"/>
        <v>9</v>
      </c>
    </row>
    <row r="31" spans="65:80" ht="15.75">
      <c r="BM31" s="7">
        <v>2</v>
      </c>
      <c r="BN31" s="7">
        <f t="shared" si="0"/>
        <v>0</v>
      </c>
      <c r="BO31" s="5">
        <f aca="true" t="shared" si="6" ref="BO31:BO39">IF(BN31&lt;=5,BO30+(BN31-BN30)*$BP$24,BO30+(BN31-BN30)*$BP$25)</f>
        <v>-20</v>
      </c>
      <c r="BP31" s="5">
        <f t="shared" si="1"/>
        <v>9</v>
      </c>
      <c r="BQ31" s="5"/>
      <c r="BR31" s="5"/>
      <c r="BT31" s="7">
        <v>2</v>
      </c>
      <c r="BU31" s="7">
        <f t="shared" si="2"/>
        <v>0</v>
      </c>
      <c r="BV31" s="5">
        <f aca="true" t="shared" si="7" ref="BV31:BV39">IF(BU31&lt;=5,BV30+(BU31-BU30)*$BW$24,BV30+(BU31-BU30)*$BW$25)</f>
        <v>0</v>
      </c>
      <c r="BW31" s="5">
        <f t="shared" si="3"/>
        <v>0</v>
      </c>
      <c r="BY31" s="7">
        <v>2</v>
      </c>
      <c r="BZ31" s="7">
        <f t="shared" si="4"/>
        <v>0</v>
      </c>
      <c r="CA31" s="5">
        <f aca="true" t="shared" si="8" ref="CA31:CA39">IF(BZ31&lt;=5,CA30+(BZ31-BZ30)*$CB$24,CA30+(BZ31-BZ30)*$CB$25)</f>
        <v>-20</v>
      </c>
      <c r="CB31" s="5">
        <f t="shared" si="5"/>
        <v>9</v>
      </c>
    </row>
    <row r="32" spans="65:80" ht="15.75">
      <c r="BM32" s="7">
        <v>3</v>
      </c>
      <c r="BN32" s="7">
        <f t="shared" si="0"/>
        <v>0</v>
      </c>
      <c r="BO32" s="5">
        <f t="shared" si="6"/>
        <v>-20</v>
      </c>
      <c r="BP32" s="5">
        <f t="shared" si="1"/>
        <v>9</v>
      </c>
      <c r="BQ32" s="5"/>
      <c r="BR32" s="5"/>
      <c r="BT32" s="7">
        <v>3</v>
      </c>
      <c r="BU32" s="7">
        <f t="shared" si="2"/>
        <v>0</v>
      </c>
      <c r="BV32" s="5">
        <f t="shared" si="7"/>
        <v>0</v>
      </c>
      <c r="BW32" s="5">
        <f t="shared" si="3"/>
        <v>0</v>
      </c>
      <c r="BY32" s="7">
        <v>3</v>
      </c>
      <c r="BZ32" s="7">
        <f t="shared" si="4"/>
        <v>0</v>
      </c>
      <c r="CA32" s="5">
        <f t="shared" si="8"/>
        <v>-20</v>
      </c>
      <c r="CB32" s="5">
        <f t="shared" si="5"/>
        <v>9</v>
      </c>
    </row>
    <row r="33" spans="65:80" ht="15.75">
      <c r="BM33" s="7">
        <v>4</v>
      </c>
      <c r="BN33" s="7">
        <f t="shared" si="0"/>
        <v>0</v>
      </c>
      <c r="BO33" s="5">
        <f t="shared" si="6"/>
        <v>-20</v>
      </c>
      <c r="BP33" s="5">
        <f t="shared" si="1"/>
        <v>9</v>
      </c>
      <c r="BQ33" s="5"/>
      <c r="BR33" s="5"/>
      <c r="BT33" s="7">
        <v>4</v>
      </c>
      <c r="BU33" s="7">
        <f t="shared" si="2"/>
        <v>0</v>
      </c>
      <c r="BV33" s="5">
        <f t="shared" si="7"/>
        <v>0</v>
      </c>
      <c r="BW33" s="5">
        <f t="shared" si="3"/>
        <v>0</v>
      </c>
      <c r="BY33" s="7">
        <v>4</v>
      </c>
      <c r="BZ33" s="7">
        <f t="shared" si="4"/>
        <v>0</v>
      </c>
      <c r="CA33" s="5">
        <f t="shared" si="8"/>
        <v>-20</v>
      </c>
      <c r="CB33" s="5">
        <f t="shared" si="5"/>
        <v>9</v>
      </c>
    </row>
    <row r="34" spans="65:80" ht="15.75">
      <c r="BM34" s="7">
        <v>5</v>
      </c>
      <c r="BN34" s="7">
        <f t="shared" si="0"/>
        <v>0</v>
      </c>
      <c r="BO34" s="5">
        <f t="shared" si="6"/>
        <v>-20</v>
      </c>
      <c r="BP34" s="5">
        <f t="shared" si="1"/>
        <v>9</v>
      </c>
      <c r="BQ34" s="5"/>
      <c r="BR34" s="5"/>
      <c r="BT34" s="7">
        <v>5</v>
      </c>
      <c r="BU34" s="7">
        <f t="shared" si="2"/>
        <v>0</v>
      </c>
      <c r="BV34" s="5">
        <f t="shared" si="7"/>
        <v>0</v>
      </c>
      <c r="BW34" s="5">
        <f t="shared" si="3"/>
        <v>0</v>
      </c>
      <c r="BY34" s="7">
        <v>5</v>
      </c>
      <c r="BZ34" s="7">
        <f t="shared" si="4"/>
        <v>0</v>
      </c>
      <c r="CA34" s="5">
        <f t="shared" si="8"/>
        <v>-20</v>
      </c>
      <c r="CB34" s="5">
        <f t="shared" si="5"/>
        <v>9</v>
      </c>
    </row>
    <row r="35" spans="65:80" ht="15.75">
      <c r="BM35" s="7">
        <v>6</v>
      </c>
      <c r="BN35" s="7">
        <f t="shared" si="0"/>
        <v>0</v>
      </c>
      <c r="BO35" s="5">
        <f t="shared" si="6"/>
        <v>-20</v>
      </c>
      <c r="BP35" s="5">
        <f t="shared" si="1"/>
        <v>9</v>
      </c>
      <c r="BQ35" s="5"/>
      <c r="BR35" s="5"/>
      <c r="BT35" s="7">
        <v>6</v>
      </c>
      <c r="BU35" s="7">
        <f t="shared" si="2"/>
        <v>0</v>
      </c>
      <c r="BV35" s="5">
        <f t="shared" si="7"/>
        <v>0</v>
      </c>
      <c r="BW35" s="5">
        <f t="shared" si="3"/>
        <v>0</v>
      </c>
      <c r="BY35" s="7">
        <v>6</v>
      </c>
      <c r="BZ35" s="7">
        <f t="shared" si="4"/>
        <v>0</v>
      </c>
      <c r="CA35" s="5">
        <f t="shared" si="8"/>
        <v>-20</v>
      </c>
      <c r="CB35" s="5">
        <f t="shared" si="5"/>
        <v>9</v>
      </c>
    </row>
    <row r="36" spans="65:80" ht="15.75">
      <c r="BM36" s="7">
        <v>7</v>
      </c>
      <c r="BN36" s="7">
        <f t="shared" si="0"/>
        <v>0</v>
      </c>
      <c r="BO36" s="5">
        <f t="shared" si="6"/>
        <v>-20</v>
      </c>
      <c r="BP36" s="5">
        <f t="shared" si="1"/>
        <v>9</v>
      </c>
      <c r="BQ36" s="5"/>
      <c r="BR36" s="5"/>
      <c r="BT36" s="7">
        <v>7</v>
      </c>
      <c r="BU36" s="7">
        <f t="shared" si="2"/>
        <v>0</v>
      </c>
      <c r="BV36" s="5">
        <f t="shared" si="7"/>
        <v>0</v>
      </c>
      <c r="BW36" s="5">
        <f t="shared" si="3"/>
        <v>0</v>
      </c>
      <c r="BY36" s="7">
        <v>7</v>
      </c>
      <c r="BZ36" s="7">
        <f t="shared" si="4"/>
        <v>0</v>
      </c>
      <c r="CA36" s="5">
        <f t="shared" si="8"/>
        <v>-20</v>
      </c>
      <c r="CB36" s="5">
        <f t="shared" si="5"/>
        <v>9</v>
      </c>
    </row>
    <row r="37" spans="65:80" ht="15.75">
      <c r="BM37" s="7">
        <v>8</v>
      </c>
      <c r="BN37" s="7">
        <f t="shared" si="0"/>
        <v>0</v>
      </c>
      <c r="BO37" s="5">
        <f t="shared" si="6"/>
        <v>-20</v>
      </c>
      <c r="BP37" s="5">
        <f t="shared" si="1"/>
        <v>9</v>
      </c>
      <c r="BQ37" s="5"/>
      <c r="BR37" s="5"/>
      <c r="BT37" s="7">
        <v>8</v>
      </c>
      <c r="BU37" s="7">
        <f t="shared" si="2"/>
        <v>0</v>
      </c>
      <c r="BV37" s="5">
        <f t="shared" si="7"/>
        <v>0</v>
      </c>
      <c r="BW37" s="5">
        <f t="shared" si="3"/>
        <v>0</v>
      </c>
      <c r="BY37" s="7">
        <v>8</v>
      </c>
      <c r="BZ37" s="7">
        <f t="shared" si="4"/>
        <v>0</v>
      </c>
      <c r="CA37" s="5">
        <f t="shared" si="8"/>
        <v>-20</v>
      </c>
      <c r="CB37" s="5">
        <f t="shared" si="5"/>
        <v>9</v>
      </c>
    </row>
    <row r="38" spans="65:80" ht="15.75">
      <c r="BM38" s="7">
        <v>9</v>
      </c>
      <c r="BN38" s="7">
        <f t="shared" si="0"/>
        <v>0</v>
      </c>
      <c r="BO38" s="5">
        <f t="shared" si="6"/>
        <v>-20</v>
      </c>
      <c r="BP38" s="5">
        <f t="shared" si="1"/>
        <v>9</v>
      </c>
      <c r="BQ38" s="5"/>
      <c r="BR38" s="5"/>
      <c r="BT38" s="7">
        <v>9</v>
      </c>
      <c r="BU38" s="7">
        <f t="shared" si="2"/>
        <v>0</v>
      </c>
      <c r="BV38" s="5">
        <f t="shared" si="7"/>
        <v>0</v>
      </c>
      <c r="BW38" s="5">
        <f t="shared" si="3"/>
        <v>0</v>
      </c>
      <c r="BY38" s="7">
        <v>9</v>
      </c>
      <c r="BZ38" s="7">
        <f t="shared" si="4"/>
        <v>0</v>
      </c>
      <c r="CA38" s="5">
        <f t="shared" si="8"/>
        <v>-20</v>
      </c>
      <c r="CB38" s="5">
        <f t="shared" si="5"/>
        <v>9</v>
      </c>
    </row>
    <row r="39" spans="65:80" ht="15.75">
      <c r="BM39" s="7">
        <v>10</v>
      </c>
      <c r="BN39" s="7">
        <f t="shared" si="0"/>
        <v>0</v>
      </c>
      <c r="BO39" s="5">
        <f t="shared" si="6"/>
        <v>-20</v>
      </c>
      <c r="BP39" s="5">
        <f t="shared" si="1"/>
        <v>9</v>
      </c>
      <c r="BQ39" s="5"/>
      <c r="BR39" s="5"/>
      <c r="BT39" s="7">
        <v>10</v>
      </c>
      <c r="BU39" s="7">
        <f t="shared" si="2"/>
        <v>0</v>
      </c>
      <c r="BV39" s="5">
        <f t="shared" si="7"/>
        <v>0</v>
      </c>
      <c r="BW39" s="5">
        <f t="shared" si="3"/>
        <v>0</v>
      </c>
      <c r="BY39" s="7">
        <v>10</v>
      </c>
      <c r="BZ39" s="7">
        <f t="shared" si="4"/>
        <v>0</v>
      </c>
      <c r="CA39" s="5">
        <f t="shared" si="8"/>
        <v>-20</v>
      </c>
      <c r="CB39" s="5">
        <f t="shared" si="5"/>
        <v>9</v>
      </c>
    </row>
    <row r="40" spans="65:80" ht="15.75">
      <c r="BM40" s="6" t="s">
        <v>17</v>
      </c>
      <c r="BO40" s="1" t="s">
        <v>11</v>
      </c>
      <c r="BP40" s="8">
        <f>IF($BN$4&lt;0,0,$C$4/5)</f>
        <v>4</v>
      </c>
      <c r="BQ40" s="8"/>
      <c r="BR40" s="8"/>
      <c r="BT40" s="1" t="s">
        <v>17</v>
      </c>
      <c r="BV40" s="1" t="s">
        <v>11</v>
      </c>
      <c r="BW40" s="8">
        <f>IF($BN$4&gt;0,0,$C$4/5)</f>
        <v>0</v>
      </c>
      <c r="BY40" s="1" t="s">
        <v>17</v>
      </c>
      <c r="CA40" s="1" t="s">
        <v>11</v>
      </c>
      <c r="CB40" s="8">
        <f>IF($C$3&lt;&gt;$C$4,0,$C$4/5)</f>
        <v>0</v>
      </c>
    </row>
    <row r="41" spans="67:80" ht="15.75">
      <c r="BO41" s="1" t="s">
        <v>12</v>
      </c>
      <c r="BP41" s="8">
        <f>IF($BN$4&lt;0,0,BO96/5)</f>
        <v>3.7333333333333334</v>
      </c>
      <c r="BQ41" s="8"/>
      <c r="BR41" s="8"/>
      <c r="BV41" s="1" t="s">
        <v>12</v>
      </c>
      <c r="BW41" s="8">
        <f>IF($BN$4&gt;0,0,BO96/5)</f>
        <v>0</v>
      </c>
      <c r="CA41" s="1" t="s">
        <v>12</v>
      </c>
      <c r="CB41" s="8">
        <f>IF($C$3&lt;&gt;$C$4,0,BO96/5)</f>
        <v>0</v>
      </c>
    </row>
    <row r="42" spans="67:80" ht="15.75">
      <c r="BO42" s="1" t="s">
        <v>13</v>
      </c>
      <c r="BP42" s="8">
        <f>-C6/C4</f>
        <v>-0.45</v>
      </c>
      <c r="BQ42" s="8"/>
      <c r="BR42" s="8"/>
      <c r="BV42" s="1" t="s">
        <v>13</v>
      </c>
      <c r="BW42" s="8">
        <f>-C6/C4</f>
        <v>-0.45</v>
      </c>
      <c r="CA42" s="1" t="s">
        <v>13</v>
      </c>
      <c r="CB42" s="8">
        <f>-C6/C4</f>
        <v>-0.45</v>
      </c>
    </row>
    <row r="43" spans="67:80" ht="15.75">
      <c r="BO43" s="1" t="s">
        <v>14</v>
      </c>
      <c r="BP43" s="8">
        <f>BP42</f>
        <v>-0.45</v>
      </c>
      <c r="BQ43" s="8"/>
      <c r="BR43" s="8"/>
      <c r="BV43" s="1" t="s">
        <v>14</v>
      </c>
      <c r="BW43" s="8">
        <f>BW42</f>
        <v>-0.45</v>
      </c>
      <c r="CA43" s="1" t="s">
        <v>14</v>
      </c>
      <c r="CB43" s="8">
        <f>CB42</f>
        <v>-0.45</v>
      </c>
    </row>
    <row r="44" spans="65:80" ht="15.75">
      <c r="BM44" s="7" t="s">
        <v>15</v>
      </c>
      <c r="BO44" s="7" t="s">
        <v>3</v>
      </c>
      <c r="BP44" s="7" t="s">
        <v>4</v>
      </c>
      <c r="BQ44" s="7"/>
      <c r="BR44" s="7"/>
      <c r="BT44" s="7" t="s">
        <v>15</v>
      </c>
      <c r="BV44" s="7" t="s">
        <v>3</v>
      </c>
      <c r="BW44" s="7" t="s">
        <v>4</v>
      </c>
      <c r="BY44" s="7" t="s">
        <v>15</v>
      </c>
      <c r="CA44" s="7" t="s">
        <v>3</v>
      </c>
      <c r="CB44" s="7" t="s">
        <v>4</v>
      </c>
    </row>
    <row r="45" spans="65:80" ht="15.75">
      <c r="BM45" s="7">
        <v>0</v>
      </c>
      <c r="BN45" s="7">
        <f aca="true" t="shared" si="9" ref="BN45:BN55">MIN(BM45,$H$3)</f>
        <v>0</v>
      </c>
      <c r="BO45" s="5">
        <f>IF($BN$4&lt;0,0,-$C$4)</f>
        <v>-20</v>
      </c>
      <c r="BP45" s="5">
        <f>IF($BN$4&lt;0,0,IF(BO45&lt;=0,$BP$42*BO45,$BP$43*BO45))</f>
        <v>9</v>
      </c>
      <c r="BQ45" s="5"/>
      <c r="BR45" s="5"/>
      <c r="BT45" s="7">
        <v>0</v>
      </c>
      <c r="BU45" s="7">
        <f aca="true" t="shared" si="10" ref="BU45:BU55">MIN(BT45,$H$3)</f>
        <v>0</v>
      </c>
      <c r="BV45" s="5">
        <f>IF($BN$4&gt;0,0,-$C$4)</f>
        <v>0</v>
      </c>
      <c r="BW45" s="5">
        <f>IF($BN$4&gt;0,0,IF(BV45&lt;=0,$BW$42*BV45,$BW$43*BV45))</f>
        <v>0</v>
      </c>
      <c r="BY45" s="7">
        <v>0</v>
      </c>
      <c r="BZ45" s="7">
        <f aca="true" t="shared" si="11" ref="BZ45:BZ55">MIN(BY45,$H$3)</f>
        <v>0</v>
      </c>
      <c r="CA45" s="5">
        <f>-$C$4</f>
        <v>-20</v>
      </c>
      <c r="CB45" s="5">
        <f>IF(CA45&lt;=0,$CB$42*CA45,$CB$43*CA45)</f>
        <v>9</v>
      </c>
    </row>
    <row r="46" spans="65:80" ht="15.75">
      <c r="BM46" s="7">
        <v>1</v>
      </c>
      <c r="BN46" s="7">
        <f t="shared" si="9"/>
        <v>0</v>
      </c>
      <c r="BO46" s="5">
        <f>IF(BN46&lt;=5,BO45+(BN46-BN45)*$BP$40,BO45+(BN46-BN45)*$BP$41)</f>
        <v>-20</v>
      </c>
      <c r="BP46" s="5">
        <f aca="true" t="shared" si="12" ref="BP46:BP55">IF(BO46&lt;=0,$BP$42*BO46,$BP$43*BO46)</f>
        <v>9</v>
      </c>
      <c r="BQ46" s="5"/>
      <c r="BR46" s="5"/>
      <c r="BT46" s="7">
        <v>1</v>
      </c>
      <c r="BU46" s="7">
        <f t="shared" si="10"/>
        <v>0</v>
      </c>
      <c r="BV46" s="5">
        <f>IF(BU46&lt;=5,BV45+(BU46-BU45)*$BW$40,BV45+(BU46-BU45)*$BW$41)</f>
        <v>0</v>
      </c>
      <c r="BW46" s="5">
        <f aca="true" t="shared" si="13" ref="BW46:BW55">IF($BN$4&gt;0,0,IF(BV46&lt;=0,$BW$42*BV46,$BW$43*BV46))</f>
        <v>0</v>
      </c>
      <c r="BY46" s="7">
        <v>1</v>
      </c>
      <c r="BZ46" s="7">
        <f t="shared" si="11"/>
        <v>0</v>
      </c>
      <c r="CA46" s="5">
        <f>IF(BZ46&lt;=5,CA45+(BZ46-BZ45)*$CB$40,CA45+(BZ46-BZ45)*$CB$41)</f>
        <v>-20</v>
      </c>
      <c r="CB46" s="5">
        <f aca="true" t="shared" si="14" ref="CB46:CB55">IF(CA46&lt;=0,$CB$42*CA46,$CB$43*CA46)</f>
        <v>9</v>
      </c>
    </row>
    <row r="47" spans="65:80" ht="15.75">
      <c r="BM47" s="7">
        <v>2</v>
      </c>
      <c r="BN47" s="7">
        <f t="shared" si="9"/>
        <v>0</v>
      </c>
      <c r="BO47" s="5">
        <f aca="true" t="shared" si="15" ref="BO47:BO55">IF(BN47&lt;=5,BO46+(BN47-BN46)*$BP$40,BO46+(BN47-BN46)*$BP$41)</f>
        <v>-20</v>
      </c>
      <c r="BP47" s="5">
        <f t="shared" si="12"/>
        <v>9</v>
      </c>
      <c r="BQ47" s="5"/>
      <c r="BR47" s="5"/>
      <c r="BT47" s="7">
        <v>2</v>
      </c>
      <c r="BU47" s="7">
        <f t="shared" si="10"/>
        <v>0</v>
      </c>
      <c r="BV47" s="5">
        <f aca="true" t="shared" si="16" ref="BV47:BV55">IF(BU47&lt;=5,BV46+(BU47-BU46)*$BW$40,BV46+(BU47-BU46)*$BW$41)</f>
        <v>0</v>
      </c>
      <c r="BW47" s="5">
        <f t="shared" si="13"/>
        <v>0</v>
      </c>
      <c r="BY47" s="7">
        <v>2</v>
      </c>
      <c r="BZ47" s="7">
        <f t="shared" si="11"/>
        <v>0</v>
      </c>
      <c r="CA47" s="5">
        <f aca="true" t="shared" si="17" ref="CA47:CA55">IF(BZ47&lt;=5,CA46+(BZ47-BZ46)*$CB$40,CA46+(BZ47-BZ46)*$CB$41)</f>
        <v>-20</v>
      </c>
      <c r="CB47" s="5">
        <f t="shared" si="14"/>
        <v>9</v>
      </c>
    </row>
    <row r="48" spans="65:80" ht="15.75">
      <c r="BM48" s="7">
        <v>3</v>
      </c>
      <c r="BN48" s="7">
        <f t="shared" si="9"/>
        <v>0</v>
      </c>
      <c r="BO48" s="5">
        <f t="shared" si="15"/>
        <v>-20</v>
      </c>
      <c r="BP48" s="5">
        <f t="shared" si="12"/>
        <v>9</v>
      </c>
      <c r="BQ48" s="5"/>
      <c r="BR48" s="5"/>
      <c r="BT48" s="7">
        <v>3</v>
      </c>
      <c r="BU48" s="7">
        <f t="shared" si="10"/>
        <v>0</v>
      </c>
      <c r="BV48" s="5">
        <f t="shared" si="16"/>
        <v>0</v>
      </c>
      <c r="BW48" s="5">
        <f t="shared" si="13"/>
        <v>0</v>
      </c>
      <c r="BY48" s="7">
        <v>3</v>
      </c>
      <c r="BZ48" s="7">
        <f t="shared" si="11"/>
        <v>0</v>
      </c>
      <c r="CA48" s="5">
        <f t="shared" si="17"/>
        <v>-20</v>
      </c>
      <c r="CB48" s="5">
        <f t="shared" si="14"/>
        <v>9</v>
      </c>
    </row>
    <row r="49" spans="65:80" ht="15.75">
      <c r="BM49" s="7">
        <v>4</v>
      </c>
      <c r="BN49" s="7">
        <f t="shared" si="9"/>
        <v>0</v>
      </c>
      <c r="BO49" s="5">
        <f t="shared" si="15"/>
        <v>-20</v>
      </c>
      <c r="BP49" s="5">
        <f t="shared" si="12"/>
        <v>9</v>
      </c>
      <c r="BQ49" s="5"/>
      <c r="BR49" s="5"/>
      <c r="BT49" s="7">
        <v>4</v>
      </c>
      <c r="BU49" s="7">
        <f t="shared" si="10"/>
        <v>0</v>
      </c>
      <c r="BV49" s="5">
        <f t="shared" si="16"/>
        <v>0</v>
      </c>
      <c r="BW49" s="5">
        <f t="shared" si="13"/>
        <v>0</v>
      </c>
      <c r="BY49" s="7">
        <v>4</v>
      </c>
      <c r="BZ49" s="7">
        <f t="shared" si="11"/>
        <v>0</v>
      </c>
      <c r="CA49" s="5">
        <f t="shared" si="17"/>
        <v>-20</v>
      </c>
      <c r="CB49" s="5">
        <f t="shared" si="14"/>
        <v>9</v>
      </c>
    </row>
    <row r="50" spans="65:80" ht="15.75">
      <c r="BM50" s="7">
        <v>5</v>
      </c>
      <c r="BN50" s="7">
        <f t="shared" si="9"/>
        <v>0</v>
      </c>
      <c r="BO50" s="5">
        <f t="shared" si="15"/>
        <v>-20</v>
      </c>
      <c r="BP50" s="5">
        <f t="shared" si="12"/>
        <v>9</v>
      </c>
      <c r="BQ50" s="5"/>
      <c r="BR50" s="5"/>
      <c r="BT50" s="7">
        <v>5</v>
      </c>
      <c r="BU50" s="7">
        <f t="shared" si="10"/>
        <v>0</v>
      </c>
      <c r="BV50" s="5">
        <f t="shared" si="16"/>
        <v>0</v>
      </c>
      <c r="BW50" s="5">
        <f t="shared" si="13"/>
        <v>0</v>
      </c>
      <c r="BY50" s="7">
        <v>5</v>
      </c>
      <c r="BZ50" s="7">
        <f t="shared" si="11"/>
        <v>0</v>
      </c>
      <c r="CA50" s="5">
        <f t="shared" si="17"/>
        <v>-20</v>
      </c>
      <c r="CB50" s="5">
        <f t="shared" si="14"/>
        <v>9</v>
      </c>
    </row>
    <row r="51" spans="65:80" ht="15.75">
      <c r="BM51" s="7">
        <v>6</v>
      </c>
      <c r="BN51" s="7">
        <f t="shared" si="9"/>
        <v>0</v>
      </c>
      <c r="BO51" s="5">
        <f t="shared" si="15"/>
        <v>-20</v>
      </c>
      <c r="BP51" s="5">
        <f t="shared" si="12"/>
        <v>9</v>
      </c>
      <c r="BQ51" s="5"/>
      <c r="BR51" s="5"/>
      <c r="BT51" s="7">
        <v>6</v>
      </c>
      <c r="BU51" s="7">
        <f t="shared" si="10"/>
        <v>0</v>
      </c>
      <c r="BV51" s="5">
        <f t="shared" si="16"/>
        <v>0</v>
      </c>
      <c r="BW51" s="5">
        <f t="shared" si="13"/>
        <v>0</v>
      </c>
      <c r="BY51" s="7">
        <v>6</v>
      </c>
      <c r="BZ51" s="7">
        <f t="shared" si="11"/>
        <v>0</v>
      </c>
      <c r="CA51" s="5">
        <f t="shared" si="17"/>
        <v>-20</v>
      </c>
      <c r="CB51" s="5">
        <f t="shared" si="14"/>
        <v>9</v>
      </c>
    </row>
    <row r="52" spans="65:80" ht="15.75">
      <c r="BM52" s="7">
        <v>7</v>
      </c>
      <c r="BN52" s="7">
        <f t="shared" si="9"/>
        <v>0</v>
      </c>
      <c r="BO52" s="5">
        <f t="shared" si="15"/>
        <v>-20</v>
      </c>
      <c r="BP52" s="5">
        <f t="shared" si="12"/>
        <v>9</v>
      </c>
      <c r="BQ52" s="5"/>
      <c r="BR52" s="5"/>
      <c r="BT52" s="7">
        <v>7</v>
      </c>
      <c r="BU52" s="7">
        <f t="shared" si="10"/>
        <v>0</v>
      </c>
      <c r="BV52" s="5">
        <f t="shared" si="16"/>
        <v>0</v>
      </c>
      <c r="BW52" s="5">
        <f t="shared" si="13"/>
        <v>0</v>
      </c>
      <c r="BY52" s="7">
        <v>7</v>
      </c>
      <c r="BZ52" s="7">
        <f t="shared" si="11"/>
        <v>0</v>
      </c>
      <c r="CA52" s="5">
        <f t="shared" si="17"/>
        <v>-20</v>
      </c>
      <c r="CB52" s="5">
        <f t="shared" si="14"/>
        <v>9</v>
      </c>
    </row>
    <row r="53" spans="65:80" ht="15.75">
      <c r="BM53" s="7">
        <v>8</v>
      </c>
      <c r="BN53" s="7">
        <f t="shared" si="9"/>
        <v>0</v>
      </c>
      <c r="BO53" s="5">
        <f t="shared" si="15"/>
        <v>-20</v>
      </c>
      <c r="BP53" s="5">
        <f t="shared" si="12"/>
        <v>9</v>
      </c>
      <c r="BQ53" s="5"/>
      <c r="BR53" s="5"/>
      <c r="BT53" s="7">
        <v>8</v>
      </c>
      <c r="BU53" s="7">
        <f t="shared" si="10"/>
        <v>0</v>
      </c>
      <c r="BV53" s="5">
        <f t="shared" si="16"/>
        <v>0</v>
      </c>
      <c r="BW53" s="5">
        <f t="shared" si="13"/>
        <v>0</v>
      </c>
      <c r="BY53" s="7">
        <v>8</v>
      </c>
      <c r="BZ53" s="7">
        <f t="shared" si="11"/>
        <v>0</v>
      </c>
      <c r="CA53" s="5">
        <f t="shared" si="17"/>
        <v>-20</v>
      </c>
      <c r="CB53" s="5">
        <f t="shared" si="14"/>
        <v>9</v>
      </c>
    </row>
    <row r="54" spans="65:80" ht="15.75">
      <c r="BM54" s="7">
        <v>9</v>
      </c>
      <c r="BN54" s="7">
        <f t="shared" si="9"/>
        <v>0</v>
      </c>
      <c r="BO54" s="5">
        <f t="shared" si="15"/>
        <v>-20</v>
      </c>
      <c r="BP54" s="5">
        <f t="shared" si="12"/>
        <v>9</v>
      </c>
      <c r="BQ54" s="5"/>
      <c r="BR54" s="5"/>
      <c r="BT54" s="7">
        <v>9</v>
      </c>
      <c r="BU54" s="7">
        <f t="shared" si="10"/>
        <v>0</v>
      </c>
      <c r="BV54" s="5">
        <f t="shared" si="16"/>
        <v>0</v>
      </c>
      <c r="BW54" s="5">
        <f t="shared" si="13"/>
        <v>0</v>
      </c>
      <c r="BY54" s="7">
        <v>9</v>
      </c>
      <c r="BZ54" s="7">
        <f t="shared" si="11"/>
        <v>0</v>
      </c>
      <c r="CA54" s="5">
        <f t="shared" si="17"/>
        <v>-20</v>
      </c>
      <c r="CB54" s="5">
        <f t="shared" si="14"/>
        <v>9</v>
      </c>
    </row>
    <row r="55" spans="65:80" ht="15.75">
      <c r="BM55" s="7">
        <v>10</v>
      </c>
      <c r="BN55" s="7">
        <f t="shared" si="9"/>
        <v>0</v>
      </c>
      <c r="BO55" s="5">
        <f t="shared" si="15"/>
        <v>-20</v>
      </c>
      <c r="BP55" s="5">
        <f t="shared" si="12"/>
        <v>9</v>
      </c>
      <c r="BQ55" s="5"/>
      <c r="BR55" s="5"/>
      <c r="BT55" s="7">
        <v>10</v>
      </c>
      <c r="BU55" s="7">
        <f t="shared" si="10"/>
        <v>0</v>
      </c>
      <c r="BV55" s="5">
        <f t="shared" si="16"/>
        <v>0</v>
      </c>
      <c r="BW55" s="5">
        <f t="shared" si="13"/>
        <v>0</v>
      </c>
      <c r="BY55" s="7">
        <v>10</v>
      </c>
      <c r="BZ55" s="7">
        <f t="shared" si="11"/>
        <v>0</v>
      </c>
      <c r="CA55" s="5">
        <f t="shared" si="17"/>
        <v>-20</v>
      </c>
      <c r="CB55" s="5">
        <f t="shared" si="14"/>
        <v>9</v>
      </c>
    </row>
    <row r="56" spans="65:80" ht="15.75">
      <c r="BM56" s="6" t="s">
        <v>18</v>
      </c>
      <c r="BO56" s="1" t="s">
        <v>11</v>
      </c>
      <c r="BP56" s="8">
        <f>IF($BN$4&lt;0,0,$C$4/5)</f>
        <v>4</v>
      </c>
      <c r="BQ56" s="8"/>
      <c r="BR56" s="8"/>
      <c r="BT56" s="1" t="s">
        <v>18</v>
      </c>
      <c r="BV56" s="1" t="s">
        <v>11</v>
      </c>
      <c r="BW56" s="8">
        <f>IF($BN$4&gt;0,0,$C$4/5)</f>
        <v>0</v>
      </c>
      <c r="CB56" s="8"/>
    </row>
    <row r="57" spans="67:80" ht="15.75">
      <c r="BO57" s="1" t="s">
        <v>12</v>
      </c>
      <c r="BP57" s="8">
        <f>IF($BN$4&lt;0,0,BO96/5)</f>
        <v>3.7333333333333334</v>
      </c>
      <c r="BQ57" s="8"/>
      <c r="BR57" s="8"/>
      <c r="BV57" s="1" t="s">
        <v>12</v>
      </c>
      <c r="BW57" s="8">
        <f>IF($BN$4&gt;0,0,BO96/5)</f>
        <v>0</v>
      </c>
      <c r="CB57" s="8"/>
    </row>
    <row r="58" spans="67:80" ht="15.75">
      <c r="BO58" s="1" t="s">
        <v>13</v>
      </c>
      <c r="BP58" s="8">
        <f>-C6/(C4-C3)</f>
        <v>-0.75</v>
      </c>
      <c r="BQ58" s="8"/>
      <c r="BR58" s="8"/>
      <c r="BV58" s="1" t="s">
        <v>13</v>
      </c>
      <c r="BW58" s="8">
        <f>-C6/(C4-C3)</f>
        <v>-0.75</v>
      </c>
      <c r="CB58" s="8"/>
    </row>
    <row r="59" spans="67:80" ht="15.75">
      <c r="BO59" s="1" t="s">
        <v>14</v>
      </c>
      <c r="BP59" s="8">
        <v>0</v>
      </c>
      <c r="BQ59" s="8"/>
      <c r="BR59" s="8"/>
      <c r="BV59" s="1" t="s">
        <v>14</v>
      </c>
      <c r="BW59" s="8">
        <v>0</v>
      </c>
      <c r="CB59" s="8"/>
    </row>
    <row r="60" spans="65:80" ht="15.75">
      <c r="BM60" s="7" t="s">
        <v>15</v>
      </c>
      <c r="BO60" s="7" t="s">
        <v>3</v>
      </c>
      <c r="BP60" s="8" t="s">
        <v>4</v>
      </c>
      <c r="BQ60" s="8"/>
      <c r="BR60" s="8"/>
      <c r="BT60" s="7" t="s">
        <v>15</v>
      </c>
      <c r="BV60" s="7" t="s">
        <v>3</v>
      </c>
      <c r="BW60" s="8" t="s">
        <v>4</v>
      </c>
      <c r="BY60" s="7"/>
      <c r="CA60" s="7"/>
      <c r="CB60" s="8"/>
    </row>
    <row r="61" spans="65:80" ht="15.75">
      <c r="BM61" s="7">
        <v>0</v>
      </c>
      <c r="BN61" s="7">
        <f aca="true" t="shared" si="18" ref="BN61:BN71">MIN(BM61,$H$4)</f>
        <v>0</v>
      </c>
      <c r="BO61" s="5">
        <f>IF($BN$4&lt;0,0,-$C$4)</f>
        <v>-20</v>
      </c>
      <c r="BP61" s="5">
        <f>IF($BN$4&lt;0,0,IF(BO61&lt;=0,$BP$58*BO61-$BN$7,$BP$59*BO61-$BN$7))</f>
        <v>9</v>
      </c>
      <c r="BQ61" s="5"/>
      <c r="BR61" s="5"/>
      <c r="BT61" s="7">
        <v>0</v>
      </c>
      <c r="BU61" s="7">
        <f aca="true" t="shared" si="19" ref="BU61:BU71">MIN(BT61,$H$4)</f>
        <v>0</v>
      </c>
      <c r="BV61" s="5">
        <f>IF($BN$4&gt;0,0,-$C$4)</f>
        <v>0</v>
      </c>
      <c r="BW61" s="5">
        <f>IF($BN$4&gt;0,0,IF(BV61&lt;=0,$BW$58*BV61-$BN$7,$BW$59*BV61-$BN$7))</f>
        <v>0</v>
      </c>
      <c r="BY61" s="7"/>
      <c r="BZ61" s="7"/>
      <c r="CA61" s="5"/>
      <c r="CB61" s="5"/>
    </row>
    <row r="62" spans="65:80" ht="15.75">
      <c r="BM62" s="7">
        <v>1</v>
      </c>
      <c r="BN62" s="7">
        <f t="shared" si="18"/>
        <v>0</v>
      </c>
      <c r="BO62" s="5">
        <f>IF(BN62&lt;=5,BO61+(BN62-BN61)*$BP$56,BO61+(BN62-BN61)*$BP$57)</f>
        <v>-20</v>
      </c>
      <c r="BP62" s="5">
        <f aca="true" t="shared" si="20" ref="BP62:BP71">IF($BN$4&lt;0,0,IF(BO62&lt;=0,$BP$58*BO62-$BN$7,$BP$59*BO62-$BN$7))</f>
        <v>9</v>
      </c>
      <c r="BQ62" s="5"/>
      <c r="BR62" s="5"/>
      <c r="BT62" s="7">
        <v>1</v>
      </c>
      <c r="BU62" s="7">
        <f t="shared" si="19"/>
        <v>0</v>
      </c>
      <c r="BV62" s="5">
        <f>IF(BU62&lt;=5,BV61+(BU62-BU61)*$BW$56,BV61+(BU62-BU61)*$BW$57)</f>
        <v>0</v>
      </c>
      <c r="BW62" s="5">
        <f aca="true" t="shared" si="21" ref="BW62:BW71">IF($BN$4&gt;0,0,IF(BV62&lt;=0,$BW$58*BV62-$BN$7,$BW$59*BV62-$BN$7))</f>
        <v>0</v>
      </c>
      <c r="BY62" s="7"/>
      <c r="BZ62" s="7"/>
      <c r="CA62" s="5"/>
      <c r="CB62" s="5"/>
    </row>
    <row r="63" spans="65:80" ht="15.75">
      <c r="BM63" s="7">
        <v>2</v>
      </c>
      <c r="BN63" s="7">
        <f t="shared" si="18"/>
        <v>0</v>
      </c>
      <c r="BO63" s="5">
        <f aca="true" t="shared" si="22" ref="BO63:BO71">IF(BN63&lt;=5,BO62+(BN63-BN62)*$BP$56,BO62+(BN63-BN62)*$BP$57)</f>
        <v>-20</v>
      </c>
      <c r="BP63" s="5">
        <f t="shared" si="20"/>
        <v>9</v>
      </c>
      <c r="BQ63" s="5"/>
      <c r="BR63" s="5"/>
      <c r="BT63" s="7">
        <v>2</v>
      </c>
      <c r="BU63" s="7">
        <f t="shared" si="19"/>
        <v>0</v>
      </c>
      <c r="BV63" s="5">
        <f aca="true" t="shared" si="23" ref="BV63:BV71">IF(BU63&lt;=5,BV62+(BU63-BU62)*$BW$56,BV62+(BU63-BU62)*$BW$57)</f>
        <v>0</v>
      </c>
      <c r="BW63" s="5">
        <f t="shared" si="21"/>
        <v>0</v>
      </c>
      <c r="BY63" s="7"/>
      <c r="BZ63" s="7"/>
      <c r="CA63" s="5"/>
      <c r="CB63" s="5"/>
    </row>
    <row r="64" spans="65:80" ht="15.75">
      <c r="BM64" s="7">
        <v>3</v>
      </c>
      <c r="BN64" s="7">
        <f t="shared" si="18"/>
        <v>0</v>
      </c>
      <c r="BO64" s="5">
        <f t="shared" si="22"/>
        <v>-20</v>
      </c>
      <c r="BP64" s="5">
        <f t="shared" si="20"/>
        <v>9</v>
      </c>
      <c r="BQ64" s="5"/>
      <c r="BR64" s="5"/>
      <c r="BT64" s="7">
        <v>3</v>
      </c>
      <c r="BU64" s="7">
        <f t="shared" si="19"/>
        <v>0</v>
      </c>
      <c r="BV64" s="5">
        <f t="shared" si="23"/>
        <v>0</v>
      </c>
      <c r="BW64" s="5">
        <f t="shared" si="21"/>
        <v>0</v>
      </c>
      <c r="BY64" s="7"/>
      <c r="BZ64" s="7"/>
      <c r="CA64" s="5"/>
      <c r="CB64" s="5"/>
    </row>
    <row r="65" spans="65:80" ht="15.75">
      <c r="BM65" s="7">
        <v>4</v>
      </c>
      <c r="BN65" s="7">
        <f t="shared" si="18"/>
        <v>0</v>
      </c>
      <c r="BO65" s="5">
        <f t="shared" si="22"/>
        <v>-20</v>
      </c>
      <c r="BP65" s="5">
        <f t="shared" si="20"/>
        <v>9</v>
      </c>
      <c r="BQ65" s="5"/>
      <c r="BR65" s="5"/>
      <c r="BT65" s="7">
        <v>4</v>
      </c>
      <c r="BU65" s="7">
        <f t="shared" si="19"/>
        <v>0</v>
      </c>
      <c r="BV65" s="5">
        <f t="shared" si="23"/>
        <v>0</v>
      </c>
      <c r="BW65" s="5">
        <f t="shared" si="21"/>
        <v>0</v>
      </c>
      <c r="BY65" s="7"/>
      <c r="BZ65" s="7"/>
      <c r="CA65" s="5"/>
      <c r="CB65" s="5"/>
    </row>
    <row r="66" spans="65:80" ht="15.75">
      <c r="BM66" s="7">
        <v>5</v>
      </c>
      <c r="BN66" s="7">
        <f t="shared" si="18"/>
        <v>0</v>
      </c>
      <c r="BO66" s="5">
        <f t="shared" si="22"/>
        <v>-20</v>
      </c>
      <c r="BP66" s="5">
        <f t="shared" si="20"/>
        <v>9</v>
      </c>
      <c r="BQ66" s="5"/>
      <c r="BR66" s="5"/>
      <c r="BT66" s="7">
        <v>5</v>
      </c>
      <c r="BU66" s="7">
        <f t="shared" si="19"/>
        <v>0</v>
      </c>
      <c r="BV66" s="5">
        <f t="shared" si="23"/>
        <v>0</v>
      </c>
      <c r="BW66" s="5">
        <f t="shared" si="21"/>
        <v>0</v>
      </c>
      <c r="BY66" s="7"/>
      <c r="BZ66" s="7"/>
      <c r="CA66" s="5"/>
      <c r="CB66" s="5"/>
    </row>
    <row r="67" spans="65:80" ht="15.75">
      <c r="BM67" s="7">
        <v>6</v>
      </c>
      <c r="BN67" s="7">
        <f t="shared" si="18"/>
        <v>0</v>
      </c>
      <c r="BO67" s="5">
        <f t="shared" si="22"/>
        <v>-20</v>
      </c>
      <c r="BP67" s="5">
        <f t="shared" si="20"/>
        <v>9</v>
      </c>
      <c r="BQ67" s="5"/>
      <c r="BR67" s="5"/>
      <c r="BT67" s="7">
        <v>6</v>
      </c>
      <c r="BU67" s="7">
        <f t="shared" si="19"/>
        <v>0</v>
      </c>
      <c r="BV67" s="5">
        <f t="shared" si="23"/>
        <v>0</v>
      </c>
      <c r="BW67" s="5">
        <f t="shared" si="21"/>
        <v>0</v>
      </c>
      <c r="BY67" s="7"/>
      <c r="BZ67" s="7"/>
      <c r="CA67" s="5"/>
      <c r="CB67" s="5"/>
    </row>
    <row r="68" spans="65:80" ht="15.75">
      <c r="BM68" s="7">
        <v>7</v>
      </c>
      <c r="BN68" s="7">
        <f t="shared" si="18"/>
        <v>0</v>
      </c>
      <c r="BO68" s="5">
        <f t="shared" si="22"/>
        <v>-20</v>
      </c>
      <c r="BP68" s="5">
        <f t="shared" si="20"/>
        <v>9</v>
      </c>
      <c r="BQ68" s="5"/>
      <c r="BR68" s="5"/>
      <c r="BT68" s="7">
        <v>7</v>
      </c>
      <c r="BU68" s="7">
        <f t="shared" si="19"/>
        <v>0</v>
      </c>
      <c r="BV68" s="5">
        <f t="shared" si="23"/>
        <v>0</v>
      </c>
      <c r="BW68" s="5">
        <f t="shared" si="21"/>
        <v>0</v>
      </c>
      <c r="BY68" s="7"/>
      <c r="BZ68" s="7"/>
      <c r="CA68" s="5"/>
      <c r="CB68" s="5"/>
    </row>
    <row r="69" spans="65:80" ht="15.75">
      <c r="BM69" s="7">
        <v>8</v>
      </c>
      <c r="BN69" s="7">
        <f t="shared" si="18"/>
        <v>0</v>
      </c>
      <c r="BO69" s="5">
        <f t="shared" si="22"/>
        <v>-20</v>
      </c>
      <c r="BP69" s="5">
        <f t="shared" si="20"/>
        <v>9</v>
      </c>
      <c r="BQ69" s="5"/>
      <c r="BR69" s="5"/>
      <c r="BT69" s="7">
        <v>8</v>
      </c>
      <c r="BU69" s="7">
        <f t="shared" si="19"/>
        <v>0</v>
      </c>
      <c r="BV69" s="5">
        <f t="shared" si="23"/>
        <v>0</v>
      </c>
      <c r="BW69" s="5">
        <f t="shared" si="21"/>
        <v>0</v>
      </c>
      <c r="BY69" s="7"/>
      <c r="BZ69" s="7"/>
      <c r="CA69" s="5"/>
      <c r="CB69" s="5"/>
    </row>
    <row r="70" spans="65:80" ht="15.75">
      <c r="BM70" s="7">
        <v>9</v>
      </c>
      <c r="BN70" s="7">
        <f t="shared" si="18"/>
        <v>0</v>
      </c>
      <c r="BO70" s="5">
        <f t="shared" si="22"/>
        <v>-20</v>
      </c>
      <c r="BP70" s="5">
        <f t="shared" si="20"/>
        <v>9</v>
      </c>
      <c r="BQ70" s="5"/>
      <c r="BR70" s="5"/>
      <c r="BT70" s="7">
        <v>9</v>
      </c>
      <c r="BU70" s="7">
        <f t="shared" si="19"/>
        <v>0</v>
      </c>
      <c r="BV70" s="5">
        <f t="shared" si="23"/>
        <v>0</v>
      </c>
      <c r="BW70" s="5">
        <f t="shared" si="21"/>
        <v>0</v>
      </c>
      <c r="BY70" s="7"/>
      <c r="BZ70" s="7"/>
      <c r="CA70" s="5"/>
      <c r="CB70" s="5"/>
    </row>
    <row r="71" spans="65:80" ht="15.75">
      <c r="BM71" s="7">
        <v>10</v>
      </c>
      <c r="BN71" s="7">
        <f t="shared" si="18"/>
        <v>0</v>
      </c>
      <c r="BO71" s="5">
        <f t="shared" si="22"/>
        <v>-20</v>
      </c>
      <c r="BP71" s="5">
        <f t="shared" si="20"/>
        <v>9</v>
      </c>
      <c r="BQ71" s="5"/>
      <c r="BR71" s="5"/>
      <c r="BT71" s="7">
        <v>10</v>
      </c>
      <c r="BU71" s="7">
        <f t="shared" si="19"/>
        <v>0</v>
      </c>
      <c r="BV71" s="5">
        <f t="shared" si="23"/>
        <v>0</v>
      </c>
      <c r="BW71" s="5">
        <f t="shared" si="21"/>
        <v>0</v>
      </c>
      <c r="BY71" s="7"/>
      <c r="BZ71" s="7"/>
      <c r="CA71" s="5"/>
      <c r="CB71" s="5"/>
    </row>
    <row r="72" spans="65:80" ht="15.75">
      <c r="BM72" s="6" t="s">
        <v>19</v>
      </c>
      <c r="BO72" s="1" t="s">
        <v>11</v>
      </c>
      <c r="BP72" s="8">
        <f>IF($BN$4&lt;0,0,$C$4/5)</f>
        <v>4</v>
      </c>
      <c r="BQ72" s="8"/>
      <c r="BR72" s="8"/>
      <c r="BT72" s="6" t="s">
        <v>19</v>
      </c>
      <c r="BV72" s="1" t="s">
        <v>11</v>
      </c>
      <c r="BW72" s="8">
        <f>IF($BN$4&gt;0,0,$C$4/5)</f>
        <v>0</v>
      </c>
      <c r="BY72" s="6" t="s">
        <v>19</v>
      </c>
      <c r="CA72" s="1" t="s">
        <v>11</v>
      </c>
      <c r="CB72" s="8">
        <f>IF($C$3&lt;&gt;C4,0,$C$4/5)</f>
        <v>0</v>
      </c>
    </row>
    <row r="73" spans="67:80" ht="15.75">
      <c r="BO73" s="1" t="s">
        <v>12</v>
      </c>
      <c r="BP73" s="8">
        <f>IF($BN$4&lt;0,0,BO96/5)</f>
        <v>3.7333333333333334</v>
      </c>
      <c r="BQ73" s="8"/>
      <c r="BR73" s="8"/>
      <c r="BV73" s="1" t="s">
        <v>12</v>
      </c>
      <c r="BW73" s="8">
        <f>IF($BN$4&gt;0,0,-$BN$4/5)</f>
        <v>0</v>
      </c>
      <c r="CA73" s="1" t="s">
        <v>12</v>
      </c>
      <c r="CB73" s="8">
        <f>IF($C$3&lt;&gt;C4,0,BO96/5)</f>
        <v>0</v>
      </c>
    </row>
    <row r="74" spans="67:80" ht="15.75">
      <c r="BO74" s="1" t="s">
        <v>13</v>
      </c>
      <c r="BP74" s="8">
        <f>-(C6-BO76)/C4</f>
        <v>-0.675</v>
      </c>
      <c r="BQ74" s="8"/>
      <c r="BR74" s="8"/>
      <c r="BV74" s="1" t="s">
        <v>27</v>
      </c>
      <c r="BW74" s="8">
        <f>IF($BN$4&gt;0,0,BO96/5)</f>
        <v>0</v>
      </c>
      <c r="CA74" s="1" t="s">
        <v>13</v>
      </c>
      <c r="CB74" s="8">
        <f>-(C6-CA76)/C4</f>
        <v>-0.675</v>
      </c>
    </row>
    <row r="75" spans="67:80" ht="15.75">
      <c r="BO75" s="1" t="s">
        <v>14</v>
      </c>
      <c r="BP75" s="8">
        <f>-(BO76--BN7)/BN4</f>
        <v>-0.11250000000000006</v>
      </c>
      <c r="BQ75" s="8"/>
      <c r="BR75" s="8"/>
      <c r="BV75" s="1" t="s">
        <v>13</v>
      </c>
      <c r="BW75" s="8">
        <f>(BV77-C6)/C4</f>
        <v>-0.675</v>
      </c>
      <c r="CA75" s="1" t="s">
        <v>14</v>
      </c>
      <c r="CB75" s="8">
        <f>CB43</f>
        <v>-0.45</v>
      </c>
    </row>
    <row r="76" spans="65:79" ht="15.75">
      <c r="BM76" s="1" t="s">
        <v>20</v>
      </c>
      <c r="BO76" s="5">
        <f>-C2/2+C2/10*P3</f>
        <v>-4.5</v>
      </c>
      <c r="BV76" s="1" t="s">
        <v>14</v>
      </c>
      <c r="BW76" s="8">
        <f>-(-BN7-BV77)/-BN4</f>
        <v>-0.11250000000000006</v>
      </c>
      <c r="BY76" s="1" t="s">
        <v>20</v>
      </c>
      <c r="CA76" s="5">
        <f>-C2/2+C2/10*P3</f>
        <v>-4.5</v>
      </c>
    </row>
    <row r="77" spans="65:80" ht="15.75">
      <c r="BM77" s="7" t="s">
        <v>15</v>
      </c>
      <c r="BO77" s="7" t="s">
        <v>3</v>
      </c>
      <c r="BP77" s="8" t="s">
        <v>4</v>
      </c>
      <c r="BQ77" s="8"/>
      <c r="BR77" s="8"/>
      <c r="BT77" s="1" t="s">
        <v>20</v>
      </c>
      <c r="BV77" s="5">
        <f>-C2/2+C2/10*P3</f>
        <v>-4.5</v>
      </c>
      <c r="BY77" s="7" t="s">
        <v>15</v>
      </c>
      <c r="CA77" s="7" t="s">
        <v>3</v>
      </c>
      <c r="CB77" s="8" t="s">
        <v>4</v>
      </c>
    </row>
    <row r="78" spans="65:80" ht="15.75">
      <c r="BM78" s="7">
        <v>0</v>
      </c>
      <c r="BN78" s="7">
        <f aca="true" t="shared" si="24" ref="BN78:BN88">MIN(BM78,$P$2)</f>
        <v>0</v>
      </c>
      <c r="BO78" s="5">
        <f>IF($BN$4&lt;0,0,-$C$4)</f>
        <v>-20</v>
      </c>
      <c r="BP78" s="5">
        <f>IF($BN$4&lt;0,0,IF(BO78&lt;=0,$BP$74*BO78+$BO$76,$BP$75*BO78+$BO$76))</f>
        <v>9</v>
      </c>
      <c r="BQ78" s="5"/>
      <c r="BR78" s="5"/>
      <c r="BT78" s="7" t="s">
        <v>15</v>
      </c>
      <c r="BV78" s="7" t="s">
        <v>3</v>
      </c>
      <c r="BW78" s="8" t="s">
        <v>4</v>
      </c>
      <c r="BY78" s="7">
        <v>0</v>
      </c>
      <c r="BZ78" s="7">
        <f aca="true" t="shared" si="25" ref="BZ78:BZ88">MIN(BY78,$P$2)</f>
        <v>0</v>
      </c>
      <c r="CA78" s="5">
        <f>-$C$4</f>
        <v>-20</v>
      </c>
      <c r="CB78" s="5">
        <f>IF(CA78&lt;=0,$CB$74*CA78+$BO$76,$CB$75*CA78+$BO$76)</f>
        <v>9</v>
      </c>
    </row>
    <row r="79" spans="65:80" ht="15.75">
      <c r="BM79" s="7">
        <v>1</v>
      </c>
      <c r="BN79" s="7">
        <f t="shared" si="24"/>
        <v>0</v>
      </c>
      <c r="BO79" s="5">
        <f>IF(BN79&lt;=5,BO78+(BN79-BN78)*$BP$72,BO78+(BN79-BN78)*$BP$73)</f>
        <v>-20</v>
      </c>
      <c r="BP79" s="5">
        <f aca="true" t="shared" si="26" ref="BP79:BP88">IF($BN$4&lt;0,0,IF(BO79&lt;=0,$BP$74*BO79+$BO$76,$BP$75*BO79+$BO$76))</f>
        <v>9</v>
      </c>
      <c r="BQ79" s="5"/>
      <c r="BR79" s="5"/>
      <c r="BT79" s="9">
        <v>0</v>
      </c>
      <c r="BU79" s="9">
        <f aca="true" t="shared" si="27" ref="BU79:BU95">MIN(BT79,$P$2)</f>
        <v>0</v>
      </c>
      <c r="BV79" s="10">
        <f>IF($BN$4&gt;0,0,-$C$4)</f>
        <v>0</v>
      </c>
      <c r="BW79" s="10">
        <f aca="true" t="shared" si="28" ref="BW79:BW84">$BW$75*BV79+$BV$77</f>
        <v>-4.5</v>
      </c>
      <c r="BY79" s="7">
        <v>1</v>
      </c>
      <c r="BZ79" s="7">
        <f t="shared" si="25"/>
        <v>0</v>
      </c>
      <c r="CA79" s="5">
        <f>IF(BZ79&lt;=5,CA78+(BZ79-BZ78)*$CB$72,CA78+(BZ79-BZ78)*$CB$73)</f>
        <v>-20</v>
      </c>
      <c r="CB79" s="5">
        <f aca="true" t="shared" si="29" ref="CB79:CB88">IF(CA79&lt;=0,$CB$74*CA79+$BO$76,$CB$75*CA79+$BO$76)</f>
        <v>9</v>
      </c>
    </row>
    <row r="80" spans="65:80" ht="15.75">
      <c r="BM80" s="7">
        <v>2</v>
      </c>
      <c r="BN80" s="7">
        <f t="shared" si="24"/>
        <v>0</v>
      </c>
      <c r="BO80" s="5">
        <f aca="true" t="shared" si="30" ref="BO80:BO88">IF(BN80&lt;=5,BO79+(BN80-BN79)*$BP$72,BO79+(BN80-BN79)*$BP$73)</f>
        <v>-20</v>
      </c>
      <c r="BP80" s="5">
        <f t="shared" si="26"/>
        <v>9</v>
      </c>
      <c r="BQ80" s="5"/>
      <c r="BR80" s="5"/>
      <c r="BT80" s="9">
        <v>1</v>
      </c>
      <c r="BU80" s="9">
        <f t="shared" si="27"/>
        <v>0</v>
      </c>
      <c r="BV80" s="10">
        <f>BV79+(BU80-BU79)*$BW$72</f>
        <v>0</v>
      </c>
      <c r="BW80" s="10">
        <f t="shared" si="28"/>
        <v>-4.5</v>
      </c>
      <c r="BY80" s="7">
        <v>2</v>
      </c>
      <c r="BZ80" s="7">
        <f t="shared" si="25"/>
        <v>0</v>
      </c>
      <c r="CA80" s="5">
        <f aca="true" t="shared" si="31" ref="CA80:CA88">IF(BZ80&lt;=5,CA79+(BZ80-BZ79)*$CB$72,CA79+(BZ80-BZ79)*$CB$73)</f>
        <v>-20</v>
      </c>
      <c r="CB80" s="5">
        <f t="shared" si="29"/>
        <v>9</v>
      </c>
    </row>
    <row r="81" spans="65:80" ht="15.75">
      <c r="BM81" s="7">
        <v>3</v>
      </c>
      <c r="BN81" s="7">
        <f t="shared" si="24"/>
        <v>0</v>
      </c>
      <c r="BO81" s="5">
        <f t="shared" si="30"/>
        <v>-20</v>
      </c>
      <c r="BP81" s="5">
        <f t="shared" si="26"/>
        <v>9</v>
      </c>
      <c r="BQ81" s="5"/>
      <c r="BR81" s="5"/>
      <c r="BT81" s="9">
        <v>2</v>
      </c>
      <c r="BU81" s="9">
        <f t="shared" si="27"/>
        <v>0</v>
      </c>
      <c r="BV81" s="10">
        <f>BV80+(BU81-BU80)*$BW$72</f>
        <v>0</v>
      </c>
      <c r="BW81" s="10">
        <f t="shared" si="28"/>
        <v>-4.5</v>
      </c>
      <c r="BY81" s="7">
        <v>3</v>
      </c>
      <c r="BZ81" s="7">
        <f t="shared" si="25"/>
        <v>0</v>
      </c>
      <c r="CA81" s="5">
        <f t="shared" si="31"/>
        <v>-20</v>
      </c>
      <c r="CB81" s="5">
        <f t="shared" si="29"/>
        <v>9</v>
      </c>
    </row>
    <row r="82" spans="65:80" ht="15.75">
      <c r="BM82" s="7">
        <v>4</v>
      </c>
      <c r="BN82" s="7">
        <f t="shared" si="24"/>
        <v>0</v>
      </c>
      <c r="BO82" s="5">
        <f t="shared" si="30"/>
        <v>-20</v>
      </c>
      <c r="BP82" s="5">
        <f t="shared" si="26"/>
        <v>9</v>
      </c>
      <c r="BQ82" s="5"/>
      <c r="BR82" s="5"/>
      <c r="BT82" s="9">
        <v>3</v>
      </c>
      <c r="BU82" s="9">
        <f t="shared" si="27"/>
        <v>0</v>
      </c>
      <c r="BV82" s="10">
        <f>BV81+(BU82-BU81)*$BW$72</f>
        <v>0</v>
      </c>
      <c r="BW82" s="10">
        <f t="shared" si="28"/>
        <v>-4.5</v>
      </c>
      <c r="BY82" s="7">
        <v>4</v>
      </c>
      <c r="BZ82" s="7">
        <f t="shared" si="25"/>
        <v>0</v>
      </c>
      <c r="CA82" s="5">
        <f t="shared" si="31"/>
        <v>-20</v>
      </c>
      <c r="CB82" s="5">
        <f t="shared" si="29"/>
        <v>9</v>
      </c>
    </row>
    <row r="83" spans="65:80" ht="15.75">
      <c r="BM83" s="7">
        <v>5</v>
      </c>
      <c r="BN83" s="7">
        <f t="shared" si="24"/>
        <v>0</v>
      </c>
      <c r="BO83" s="5">
        <f t="shared" si="30"/>
        <v>-20</v>
      </c>
      <c r="BP83" s="5">
        <f t="shared" si="26"/>
        <v>9</v>
      </c>
      <c r="BQ83" s="5"/>
      <c r="BR83" s="5"/>
      <c r="BT83" s="9">
        <v>4</v>
      </c>
      <c r="BU83" s="9">
        <f t="shared" si="27"/>
        <v>0</v>
      </c>
      <c r="BV83" s="10">
        <f>BV82+(BU83-BU82)*$BW$72</f>
        <v>0</v>
      </c>
      <c r="BW83" s="10">
        <f t="shared" si="28"/>
        <v>-4.5</v>
      </c>
      <c r="BY83" s="7">
        <v>5</v>
      </c>
      <c r="BZ83" s="7">
        <f t="shared" si="25"/>
        <v>0</v>
      </c>
      <c r="CA83" s="5">
        <f t="shared" si="31"/>
        <v>-20</v>
      </c>
      <c r="CB83" s="5">
        <f t="shared" si="29"/>
        <v>9</v>
      </c>
    </row>
    <row r="84" spans="65:80" ht="15.75">
      <c r="BM84" s="7">
        <v>6</v>
      </c>
      <c r="BN84" s="7">
        <f t="shared" si="24"/>
        <v>0</v>
      </c>
      <c r="BO84" s="5">
        <f t="shared" si="30"/>
        <v>-20</v>
      </c>
      <c r="BP84" s="5">
        <f t="shared" si="26"/>
        <v>9</v>
      </c>
      <c r="BQ84" s="5"/>
      <c r="BR84" s="5"/>
      <c r="BT84" s="9">
        <v>5</v>
      </c>
      <c r="BU84" s="9">
        <f t="shared" si="27"/>
        <v>0</v>
      </c>
      <c r="BV84" s="10">
        <f>BV83+(BU84-BU83)*$BW$72</f>
        <v>0</v>
      </c>
      <c r="BW84" s="10">
        <f t="shared" si="28"/>
        <v>-4.5</v>
      </c>
      <c r="BY84" s="7">
        <v>6</v>
      </c>
      <c r="BZ84" s="7">
        <f t="shared" si="25"/>
        <v>0</v>
      </c>
      <c r="CA84" s="5">
        <f t="shared" si="31"/>
        <v>-20</v>
      </c>
      <c r="CB84" s="5">
        <f t="shared" si="29"/>
        <v>9</v>
      </c>
    </row>
    <row r="85" spans="65:80" ht="15.75">
      <c r="BM85" s="7">
        <v>7</v>
      </c>
      <c r="BN85" s="7">
        <f t="shared" si="24"/>
        <v>0</v>
      </c>
      <c r="BO85" s="5">
        <f t="shared" si="30"/>
        <v>-20</v>
      </c>
      <c r="BP85" s="5">
        <f t="shared" si="26"/>
        <v>9</v>
      </c>
      <c r="BQ85" s="5"/>
      <c r="BR85" s="5"/>
      <c r="BT85" s="7">
        <v>5</v>
      </c>
      <c r="BU85" s="7">
        <f t="shared" si="27"/>
        <v>0</v>
      </c>
      <c r="BV85" s="5">
        <f>BN4</f>
        <v>13.333333333333334</v>
      </c>
      <c r="BW85" s="5">
        <f>$BW$76*BV85+$BV$77</f>
        <v>-6.000000000000001</v>
      </c>
      <c r="BY85" s="7">
        <v>7</v>
      </c>
      <c r="BZ85" s="7">
        <f t="shared" si="25"/>
        <v>0</v>
      </c>
      <c r="CA85" s="5">
        <f t="shared" si="31"/>
        <v>-20</v>
      </c>
      <c r="CB85" s="5">
        <f t="shared" si="29"/>
        <v>9</v>
      </c>
    </row>
    <row r="86" spans="65:80" ht="15.75">
      <c r="BM86" s="7">
        <v>8</v>
      </c>
      <c r="BN86" s="7">
        <f t="shared" si="24"/>
        <v>0</v>
      </c>
      <c r="BO86" s="5">
        <f t="shared" si="30"/>
        <v>-20</v>
      </c>
      <c r="BP86" s="5">
        <f t="shared" si="26"/>
        <v>9</v>
      </c>
      <c r="BQ86" s="5"/>
      <c r="BR86" s="5"/>
      <c r="BT86" s="7">
        <v>6</v>
      </c>
      <c r="BU86" s="7">
        <f t="shared" si="27"/>
        <v>0</v>
      </c>
      <c r="BV86" s="5">
        <f>BV85+(BU86-BU85)*$BW$73</f>
        <v>13.333333333333334</v>
      </c>
      <c r="BW86" s="5">
        <f aca="true" t="shared" si="32" ref="BW86:BW95">$BW$76*BV86+$BV$77</f>
        <v>-6.000000000000001</v>
      </c>
      <c r="BY86" s="7">
        <v>8</v>
      </c>
      <c r="BZ86" s="7">
        <f t="shared" si="25"/>
        <v>0</v>
      </c>
      <c r="CA86" s="5">
        <f t="shared" si="31"/>
        <v>-20</v>
      </c>
      <c r="CB86" s="5">
        <f t="shared" si="29"/>
        <v>9</v>
      </c>
    </row>
    <row r="87" spans="65:80" ht="15.75">
      <c r="BM87" s="7">
        <v>9</v>
      </c>
      <c r="BN87" s="7">
        <f t="shared" si="24"/>
        <v>0</v>
      </c>
      <c r="BO87" s="5">
        <f t="shared" si="30"/>
        <v>-20</v>
      </c>
      <c r="BP87" s="5">
        <f t="shared" si="26"/>
        <v>9</v>
      </c>
      <c r="BQ87" s="5"/>
      <c r="BR87" s="5"/>
      <c r="BT87" s="7">
        <v>7</v>
      </c>
      <c r="BU87" s="7">
        <f t="shared" si="27"/>
        <v>0</v>
      </c>
      <c r="BV87" s="5">
        <f>BV86+(BU87-BU86)*$BW$73</f>
        <v>13.333333333333334</v>
      </c>
      <c r="BW87" s="5">
        <f t="shared" si="32"/>
        <v>-6.000000000000001</v>
      </c>
      <c r="BY87" s="7">
        <v>9</v>
      </c>
      <c r="BZ87" s="7">
        <f t="shared" si="25"/>
        <v>0</v>
      </c>
      <c r="CA87" s="5">
        <f t="shared" si="31"/>
        <v>-20</v>
      </c>
      <c r="CB87" s="5">
        <f t="shared" si="29"/>
        <v>9</v>
      </c>
    </row>
    <row r="88" spans="65:80" ht="15.75">
      <c r="BM88" s="7">
        <v>10</v>
      </c>
      <c r="BN88" s="7">
        <f t="shared" si="24"/>
        <v>0</v>
      </c>
      <c r="BO88" s="5">
        <f t="shared" si="30"/>
        <v>-20</v>
      </c>
      <c r="BP88" s="5">
        <f t="shared" si="26"/>
        <v>9</v>
      </c>
      <c r="BQ88" s="5"/>
      <c r="BR88" s="5"/>
      <c r="BT88" s="7">
        <v>8</v>
      </c>
      <c r="BU88" s="7">
        <f t="shared" si="27"/>
        <v>0</v>
      </c>
      <c r="BV88" s="5">
        <f>BV87+(BU88-BU87)*$BW$73</f>
        <v>13.333333333333334</v>
      </c>
      <c r="BW88" s="5">
        <f t="shared" si="32"/>
        <v>-6.000000000000001</v>
      </c>
      <c r="BY88" s="7">
        <v>10</v>
      </c>
      <c r="BZ88" s="7">
        <f t="shared" si="25"/>
        <v>0</v>
      </c>
      <c r="CA88" s="5">
        <f t="shared" si="31"/>
        <v>-20</v>
      </c>
      <c r="CB88" s="5">
        <f t="shared" si="29"/>
        <v>9</v>
      </c>
    </row>
    <row r="89" spans="72:75" ht="15.75">
      <c r="BT89" s="7">
        <v>9</v>
      </c>
      <c r="BU89" s="7">
        <f t="shared" si="27"/>
        <v>0</v>
      </c>
      <c r="BV89" s="5">
        <f>BV88+(BU89-BU88)*$BW$73</f>
        <v>13.333333333333334</v>
      </c>
      <c r="BW89" s="5">
        <f t="shared" si="32"/>
        <v>-6.000000000000001</v>
      </c>
    </row>
    <row r="90" spans="65:75" ht="15.75">
      <c r="BM90" s="6" t="s">
        <v>39</v>
      </c>
      <c r="BN90" s="7">
        <f>L2</f>
        <v>1</v>
      </c>
      <c r="BT90" s="7">
        <v>10</v>
      </c>
      <c r="BU90" s="7">
        <f t="shared" si="27"/>
        <v>0</v>
      </c>
      <c r="BV90" s="5">
        <f>BV89+(BU90-BU89)*$BW$73</f>
        <v>13.333333333333334</v>
      </c>
      <c r="BW90" s="5">
        <f t="shared" si="32"/>
        <v>-6.000000000000001</v>
      </c>
    </row>
    <row r="91" spans="72:75" ht="15.75">
      <c r="BT91" s="7">
        <v>11</v>
      </c>
      <c r="BU91" s="9">
        <f t="shared" si="27"/>
        <v>0</v>
      </c>
      <c r="BV91" s="10">
        <f>BV90+(BU91-BU90)*$BW$74</f>
        <v>13.333333333333334</v>
      </c>
      <c r="BW91" s="10">
        <f t="shared" si="32"/>
        <v>-6.000000000000001</v>
      </c>
    </row>
    <row r="92" spans="66:75" ht="15.75">
      <c r="BN92" s="7" t="s">
        <v>3</v>
      </c>
      <c r="BO92" s="7" t="s">
        <v>4</v>
      </c>
      <c r="BT92" s="7">
        <v>12</v>
      </c>
      <c r="BU92" s="9">
        <f t="shared" si="27"/>
        <v>0</v>
      </c>
      <c r="BV92" s="10">
        <f>BV91+(BU92-BU91)*$BW$74</f>
        <v>13.333333333333334</v>
      </c>
      <c r="BW92" s="10">
        <f t="shared" si="32"/>
        <v>-6.000000000000001</v>
      </c>
    </row>
    <row r="93" spans="66:75" ht="15.75">
      <c r="BN93" s="5">
        <f>IF($BN$90=0,0,BN3)</f>
        <v>13.333333333333334</v>
      </c>
      <c r="BO93" s="5">
        <f>IF(BN90=0,0,BO98)</f>
        <v>9</v>
      </c>
      <c r="BT93" s="7">
        <v>13</v>
      </c>
      <c r="BU93" s="9">
        <f t="shared" si="27"/>
        <v>0</v>
      </c>
      <c r="BV93" s="10">
        <f>BV92+(BU93-BU92)*$BW$74</f>
        <v>13.333333333333334</v>
      </c>
      <c r="BW93" s="10">
        <f t="shared" si="32"/>
        <v>-6.000000000000001</v>
      </c>
    </row>
    <row r="94" spans="66:75" ht="15.75">
      <c r="BN94" s="5">
        <f>IF($BN$90=0,0,BN93)</f>
        <v>13.333333333333334</v>
      </c>
      <c r="BO94" s="5">
        <f>IF(BN90=0,0,BO97)</f>
        <v>-12</v>
      </c>
      <c r="BT94" s="7">
        <v>14</v>
      </c>
      <c r="BU94" s="9">
        <f t="shared" si="27"/>
        <v>0</v>
      </c>
      <c r="BV94" s="10">
        <f>BV93+(BU94-BU93)*$BW$74</f>
        <v>13.333333333333334</v>
      </c>
      <c r="BW94" s="10">
        <f t="shared" si="32"/>
        <v>-6.000000000000001</v>
      </c>
    </row>
    <row r="95" spans="65:75" ht="15.75">
      <c r="BM95" s="6" t="s">
        <v>51</v>
      </c>
      <c r="BN95" s="29" t="s">
        <v>52</v>
      </c>
      <c r="BO95" s="5">
        <f>MIN(IF($C$4=$C$3,-$C$3,IF($BN$4&gt;0,-C4,IF($BN$4&lt;0,BN4))),-C3)</f>
        <v>-20</v>
      </c>
      <c r="BT95" s="7">
        <v>15</v>
      </c>
      <c r="BU95" s="9">
        <f t="shared" si="27"/>
        <v>0</v>
      </c>
      <c r="BV95" s="10">
        <f>BV94+(BU95-BU94)*$BW$74</f>
        <v>13.333333333333334</v>
      </c>
      <c r="BW95" s="10">
        <f t="shared" si="32"/>
        <v>-6.000000000000001</v>
      </c>
    </row>
    <row r="96" spans="66:75" ht="15.75">
      <c r="BN96" s="29" t="s">
        <v>53</v>
      </c>
      <c r="BO96" s="5">
        <f>IF($C$4=$C$3,1.4*$C$3,IF($BN$4&gt;0,MAX($C$3,1.4*BN4),IF($BN$4&lt;0,1.4*$C$3)))</f>
        <v>18.666666666666668</v>
      </c>
      <c r="BT96" s="6" t="s">
        <v>24</v>
      </c>
      <c r="BV96" s="1" t="s">
        <v>11</v>
      </c>
      <c r="BW96" s="8"/>
    </row>
    <row r="97" spans="66:75" ht="15.75">
      <c r="BN97" s="29" t="s">
        <v>63</v>
      </c>
      <c r="BO97" s="5">
        <f>MIN(IF($C$3=$C$4,-C6/C4*BO96-$C$2/2,IF($BN$4&gt;0,MIN(-($C$2/2+$BN$7)/$BN$4*BO96+$C$2/2,-($C$6+$BN$7)/$BN$4*BO96+$C$6),IF($BN$4&lt;0,(ABS($BN$7)+$C$2/2)/$BN$4*BO96-$C$2/2))),-C2/2)</f>
        <v>-12</v>
      </c>
      <c r="BV97" s="1" t="s">
        <v>12</v>
      </c>
      <c r="BW97" s="8"/>
    </row>
    <row r="98" spans="66:75" ht="15.75">
      <c r="BN98" s="29" t="s">
        <v>65</v>
      </c>
      <c r="BO98" s="5">
        <f>MAX(C2/2,MAX((IF(ISERROR(BN4),BP27*BO95+C6,IF($BN$4&gt;0,MAX(C2/2,C6,($C$2/2-$BN$7)/$BN$4*BO95-$C$2/2),IF($BN$4&lt;0,MAX(ABS(BN7),($C$2/2-ABS(BN7))/ABS(BN4)*BO96+$C$2/2)))))))</f>
        <v>9</v>
      </c>
      <c r="BV98" s="1" t="s">
        <v>13</v>
      </c>
      <c r="BW98" s="8">
        <f>BW27</f>
        <v>-1.125</v>
      </c>
    </row>
    <row r="99" spans="66:75" ht="15.75">
      <c r="BN99" s="1" t="s">
        <v>64</v>
      </c>
      <c r="BO99" s="10">
        <f>MAX(ABS(BO97),ABS(BO98))</f>
        <v>12</v>
      </c>
      <c r="BV99" s="1" t="s">
        <v>14</v>
      </c>
      <c r="BW99" s="8"/>
    </row>
    <row r="100" spans="67:75" ht="15.75">
      <c r="BO100" s="7" t="s">
        <v>3</v>
      </c>
      <c r="BP100" s="7" t="s">
        <v>4</v>
      </c>
      <c r="BT100" s="7"/>
      <c r="BV100" s="7" t="s">
        <v>3</v>
      </c>
      <c r="BW100" s="8" t="s">
        <v>4</v>
      </c>
    </row>
    <row r="101" spans="67:75" ht="15.75">
      <c r="BO101" s="7">
        <f>BO95</f>
        <v>-20</v>
      </c>
      <c r="BP101" s="8">
        <f>BO98</f>
        <v>9</v>
      </c>
      <c r="BT101" s="7"/>
      <c r="BU101" s="7"/>
      <c r="BV101" s="5">
        <v>0</v>
      </c>
      <c r="BW101" s="5">
        <f>IF(C3=C4,C6,IF($BN$4&gt;0,0,$BW$98*BV101+$C$6))</f>
        <v>0</v>
      </c>
    </row>
    <row r="102" spans="67:75" ht="15.75">
      <c r="BO102" s="8">
        <f>BO96</f>
        <v>18.666666666666668</v>
      </c>
      <c r="BP102" s="8">
        <f>BO98</f>
        <v>9</v>
      </c>
      <c r="BT102" s="7"/>
      <c r="BU102" s="7"/>
      <c r="BV102" s="5">
        <f>IF(C3=C4,-C4,IF($BN$4&gt;0,0,BN4/5*$H$5))</f>
        <v>0</v>
      </c>
      <c r="BW102" s="5">
        <f>IF(C3=C4,BW98*BV102+C6,IF($BN$4&gt;0,0,$BW$98*BV102+$C$6))</f>
        <v>0</v>
      </c>
    </row>
    <row r="103" spans="67:75" ht="15.75">
      <c r="BO103" s="5">
        <f>BO96</f>
        <v>18.666666666666668</v>
      </c>
      <c r="BP103" s="8">
        <f>BO97</f>
        <v>-12</v>
      </c>
      <c r="BT103" s="6" t="s">
        <v>25</v>
      </c>
      <c r="BV103" s="1" t="s">
        <v>11</v>
      </c>
      <c r="BW103" s="8"/>
    </row>
    <row r="104" spans="67:75" ht="15.75">
      <c r="BO104" s="8">
        <f>BO95</f>
        <v>-20</v>
      </c>
      <c r="BP104" s="8">
        <f>BO97</f>
        <v>-12</v>
      </c>
      <c r="BV104" s="1" t="s">
        <v>12</v>
      </c>
      <c r="BW104" s="8"/>
    </row>
    <row r="105" spans="67:75" ht="15.75">
      <c r="BO105" s="7">
        <f>BO95</f>
        <v>-20</v>
      </c>
      <c r="BP105" s="8">
        <f>BO98</f>
        <v>9</v>
      </c>
      <c r="BV105" s="1" t="s">
        <v>13</v>
      </c>
      <c r="BW105" s="8">
        <f>BW42</f>
        <v>-0.45</v>
      </c>
    </row>
    <row r="106" spans="74:75" ht="15.75">
      <c r="BV106" s="1" t="s">
        <v>14</v>
      </c>
      <c r="BW106" s="8"/>
    </row>
    <row r="107" spans="72:75" ht="15.75">
      <c r="BT107" s="7"/>
      <c r="BV107" s="7" t="s">
        <v>3</v>
      </c>
      <c r="BW107" s="8" t="s">
        <v>4</v>
      </c>
    </row>
    <row r="108" spans="72:75" ht="15.75">
      <c r="BT108" s="7"/>
      <c r="BU108" s="7"/>
      <c r="BV108" s="5">
        <f>IF($BN$4&gt;0,0,-C4)</f>
        <v>0</v>
      </c>
      <c r="BW108" s="5">
        <f>IF($BN$4&gt;0,0,$BW$105*BV108)</f>
        <v>0</v>
      </c>
    </row>
    <row r="109" spans="72:75" ht="15.75">
      <c r="BT109" s="7"/>
      <c r="BU109" s="7"/>
      <c r="BV109" s="5">
        <f>IF($BN$4&gt;0,0,BV108+(BN4--C4)/5*$H$5)</f>
        <v>0</v>
      </c>
      <c r="BW109" s="5">
        <f>IF($BN$4&gt;0,0,$BW$105*BV109)</f>
        <v>0</v>
      </c>
    </row>
    <row r="110" spans="72:75" ht="15.75">
      <c r="BT110" s="6" t="s">
        <v>26</v>
      </c>
      <c r="BV110" s="1" t="s">
        <v>11</v>
      </c>
      <c r="BW110" s="8"/>
    </row>
    <row r="111" spans="66:75" ht="15.75">
      <c r="BN111" s="1" t="s">
        <v>61</v>
      </c>
      <c r="BO111" s="7">
        <f>L2</f>
        <v>1</v>
      </c>
      <c r="BV111" s="1" t="s">
        <v>12</v>
      </c>
      <c r="BW111" s="8"/>
    </row>
    <row r="112" spans="66:75" ht="15.75">
      <c r="BN112" s="1" t="s">
        <v>62</v>
      </c>
      <c r="BO112" s="7">
        <f>P4</f>
        <v>0</v>
      </c>
      <c r="BV112" s="1" t="s">
        <v>13</v>
      </c>
      <c r="BW112" s="8">
        <f>BW59</f>
        <v>0</v>
      </c>
    </row>
    <row r="113" spans="74:75" ht="15.75">
      <c r="BV113" s="1" t="s">
        <v>14</v>
      </c>
      <c r="BW113" s="8"/>
    </row>
    <row r="114" spans="66:75" ht="15.75">
      <c r="BN114" s="30" t="s">
        <v>60</v>
      </c>
      <c r="BO114" s="31">
        <f>C3</f>
        <v>8</v>
      </c>
      <c r="BT114" s="7"/>
      <c r="BV114" s="7" t="s">
        <v>3</v>
      </c>
      <c r="BW114" s="8" t="s">
        <v>4</v>
      </c>
    </row>
    <row r="115" spans="66:75" ht="15.75">
      <c r="BN115" s="30" t="s">
        <v>59</v>
      </c>
      <c r="BO115" s="31">
        <f>C4</f>
        <v>20</v>
      </c>
      <c r="BT115" s="7"/>
      <c r="BU115" s="7"/>
      <c r="BV115" s="5">
        <v>0</v>
      </c>
      <c r="BW115" s="5">
        <f>IF($BN$4&gt;0,0,$BW$112*BV115+-$BN$7)</f>
        <v>0</v>
      </c>
    </row>
    <row r="116" spans="66:75" ht="15.75">
      <c r="BN116" s="30" t="s">
        <v>58</v>
      </c>
      <c r="BO116" s="31">
        <f>BN4</f>
        <v>13.333333333333334</v>
      </c>
      <c r="BT116" s="7"/>
      <c r="BU116" s="7"/>
      <c r="BV116" s="5">
        <f>IF($BN$4&gt;0,0,BV115+BN4/5*$H$5)</f>
        <v>0</v>
      </c>
      <c r="BW116" s="5">
        <f>IF($BN$4&gt;0,0,$BW$112*BV116+-$BN$7)</f>
        <v>0</v>
      </c>
    </row>
    <row r="117" spans="65:76" ht="15.75">
      <c r="BM117" s="6" t="s">
        <v>33</v>
      </c>
      <c r="BO117" s="5">
        <f>IF(L2=0,BO96,BN3)</f>
        <v>13.333333333333334</v>
      </c>
      <c r="BP117" s="1" t="s">
        <v>0</v>
      </c>
      <c r="BT117" s="32" t="s">
        <v>30</v>
      </c>
      <c r="BU117" s="33"/>
      <c r="BV117" s="33"/>
      <c r="BW117" s="33"/>
      <c r="BX117" s="33"/>
    </row>
    <row r="118" spans="65:76" ht="15.75">
      <c r="BM118" s="1" t="s">
        <v>31</v>
      </c>
      <c r="BN118" s="3">
        <v>50</v>
      </c>
      <c r="BO118" s="11" t="s">
        <v>32</v>
      </c>
      <c r="BP118" s="8">
        <f>C2/BN118</f>
        <v>0.18</v>
      </c>
      <c r="BQ118" s="5"/>
      <c r="BR118" s="5"/>
      <c r="BT118" s="33" t="s">
        <v>31</v>
      </c>
      <c r="BU118" s="34">
        <v>50</v>
      </c>
      <c r="BV118" s="33" t="s">
        <v>32</v>
      </c>
      <c r="BW118" s="35">
        <f>H2/BU118</f>
        <v>0</v>
      </c>
      <c r="BX118" s="33"/>
    </row>
    <row r="119" spans="65:76" ht="15.75">
      <c r="BM119" s="1" t="s">
        <v>34</v>
      </c>
      <c r="BO119" s="11" t="s">
        <v>32</v>
      </c>
      <c r="BP119" s="12">
        <f>($BO$117-$BN$4)/$BN$4*BP118</f>
        <v>0</v>
      </c>
      <c r="BQ119" s="12"/>
      <c r="BR119" s="12"/>
      <c r="BT119" s="33"/>
      <c r="BU119" s="33"/>
      <c r="BV119" s="35" t="s">
        <v>3</v>
      </c>
      <c r="BW119" s="35" t="s">
        <v>4</v>
      </c>
      <c r="BX119" s="33"/>
    </row>
    <row r="120" spans="67:76" ht="15.75">
      <c r="BO120" s="1" t="s">
        <v>37</v>
      </c>
      <c r="BR120" s="2" t="s">
        <v>38</v>
      </c>
      <c r="BS120" s="2"/>
      <c r="BT120" s="33"/>
      <c r="BU120" s="33">
        <v>0</v>
      </c>
      <c r="BV120" s="36">
        <f>IF($P$4=0,0,-$C$4)</f>
        <v>0</v>
      </c>
      <c r="BW120" s="36">
        <f aca="true" t="shared" si="33" ref="BW120:BW151">IF($P$4=0,0,IF(BV120&lt;0,$C$6,IF(BV120&gt;0,-$BN$7,-$C$2/2+$BP$118*BU120)))</f>
        <v>0</v>
      </c>
      <c r="BX120" s="33"/>
    </row>
    <row r="121" spans="67:76" ht="15.75">
      <c r="BO121" s="7" t="s">
        <v>4</v>
      </c>
      <c r="BP121" s="7" t="s">
        <v>35</v>
      </c>
      <c r="BQ121" s="7" t="s">
        <v>36</v>
      </c>
      <c r="BR121" s="7" t="s">
        <v>3</v>
      </c>
      <c r="BS121" s="7" t="s">
        <v>4</v>
      </c>
      <c r="BT121" s="33"/>
      <c r="BU121" s="33">
        <v>0</v>
      </c>
      <c r="BV121" s="36">
        <f>IF($P$4=0,0,0)</f>
        <v>0</v>
      </c>
      <c r="BW121" s="36">
        <f t="shared" si="33"/>
        <v>0</v>
      </c>
      <c r="BX121" s="33"/>
    </row>
    <row r="122" spans="66:76" ht="15.75">
      <c r="BN122" s="7">
        <v>0</v>
      </c>
      <c r="BO122" s="5">
        <f aca="true" t="shared" si="34" ref="BO122:BO186">$C$2/2-$BP$118*BN122</f>
        <v>4.5</v>
      </c>
      <c r="BP122" s="38">
        <f>(BO122-$C$2/2)/$C$4</f>
        <v>0</v>
      </c>
      <c r="BQ122" s="13">
        <f>IF($C$3=$C$4,$BW$43,IF($BN$4&gt;0,(-$BN$7-BO122)/$BN$4,IF($BN$4&lt;0,(-$BN$7-BO122)/$BN$4)))</f>
        <v>-0.7875</v>
      </c>
      <c r="BR122" s="5">
        <f>IF($P$4=0,0,-$C$4)</f>
        <v>0</v>
      </c>
      <c r="BS122" s="5">
        <f>IF($P$4=0,0,IF(BR122&lt;0,$C$6,IF(BR122=0,BO122,BQ122*$BO$117+BO122)))</f>
        <v>0</v>
      </c>
      <c r="BT122" s="33"/>
      <c r="BU122" s="33">
        <v>0</v>
      </c>
      <c r="BV122" s="36">
        <f>IF($P$4=0,0,IF(AND(P4=1,L2=0),1.2*$C$3,$BO$117))</f>
        <v>0</v>
      </c>
      <c r="BW122" s="36">
        <f>IF($P$4=0,0,IF($C$3=$C$4,BW121+$BW$43*BV122,IF(BV122&lt;0,$C$6,IF(BV122&gt;0,-$BN$7,-$C$2/2+$BP$118*BU122))))</f>
        <v>0</v>
      </c>
      <c r="BX122" s="33"/>
    </row>
    <row r="123" spans="66:76" ht="15.75">
      <c r="BN123" s="7">
        <v>0</v>
      </c>
      <c r="BO123" s="5">
        <f t="shared" si="34"/>
        <v>4.5</v>
      </c>
      <c r="BP123" s="38">
        <f aca="true" t="shared" si="35" ref="BP123:BP186">(BO123-$C$2/2)/$C$4</f>
        <v>0</v>
      </c>
      <c r="BQ123" s="13">
        <f aca="true" t="shared" si="36" ref="BQ123:BQ136">IF($C$3=$C$4,$BW$43,IF($BN$4&gt;0,(-$BN$7-BO123)/$BN$4,IF($BN$4&lt;0,(-$BN$7-BO123)/$BN$4)))</f>
        <v>-0.7875</v>
      </c>
      <c r="BR123" s="7">
        <f>IF($P$4=0,0,0)</f>
        <v>0</v>
      </c>
      <c r="BS123" s="5">
        <f>IF($P$4=0,0,IF(BR123&lt;0,$C$6,IF(BR123=0,BO123,BQ123*$BO$117+BO123)))</f>
        <v>0</v>
      </c>
      <c r="BT123" s="39"/>
      <c r="BU123" s="33">
        <f>IF(BV123=0,BU122+1,BU122)</f>
        <v>1</v>
      </c>
      <c r="BV123" s="36">
        <f>BV120</f>
        <v>0</v>
      </c>
      <c r="BW123" s="36">
        <f aca="true" t="shared" si="37" ref="BW123:BW128">IF($P$4=0,0,IF($C$3=$C$4,BW122+$BW$43*BV123,IF(BV123&lt;0,$C$6,IF(BV123&gt;0,-$BN$7,-$C$2/2+$BP$118*BU123))))</f>
        <v>0</v>
      </c>
      <c r="BX123" s="33"/>
    </row>
    <row r="124" spans="66:76" ht="15.75">
      <c r="BN124" s="7">
        <v>0</v>
      </c>
      <c r="BO124" s="5">
        <f t="shared" si="34"/>
        <v>4.5</v>
      </c>
      <c r="BP124" s="38">
        <f t="shared" si="35"/>
        <v>0</v>
      </c>
      <c r="BQ124" s="13">
        <f t="shared" si="36"/>
        <v>-0.7875</v>
      </c>
      <c r="BR124" s="5">
        <f>IF(P4=0,0,BO117)</f>
        <v>0</v>
      </c>
      <c r="BS124" s="5">
        <f>IF($P$4=0,0,IF(BR124&lt;0,$C$6,IF(BR124=0,BO124,BQ124*BR124+BO124)))</f>
        <v>0</v>
      </c>
      <c r="BT124" s="39"/>
      <c r="BU124" s="33">
        <f>IF(BV124=0,BU121+1,0)</f>
        <v>1</v>
      </c>
      <c r="BV124" s="36">
        <f aca="true" t="shared" si="38" ref="BV124:BV187">BV121</f>
        <v>0</v>
      </c>
      <c r="BW124" s="36">
        <f t="shared" si="37"/>
        <v>0</v>
      </c>
      <c r="BX124" s="33"/>
    </row>
    <row r="125" spans="66:76" ht="15.75">
      <c r="BN125" s="7">
        <v>0</v>
      </c>
      <c r="BO125" s="5">
        <f t="shared" si="34"/>
        <v>4.5</v>
      </c>
      <c r="BP125" s="38">
        <f t="shared" si="35"/>
        <v>0</v>
      </c>
      <c r="BQ125" s="13">
        <f t="shared" si="36"/>
        <v>-0.7875</v>
      </c>
      <c r="BR125" s="5">
        <f>IF(P4=0,0,0)</f>
        <v>0</v>
      </c>
      <c r="BS125" s="5">
        <f aca="true" t="shared" si="39" ref="BS125:BS188">IF($P$4=0,0,IF(BR125&lt;0,$C$6,IF(BR125=0,BO125,BQ125*BR125+BO125)))</f>
        <v>0</v>
      </c>
      <c r="BT125" s="39"/>
      <c r="BU125" s="33">
        <f aca="true" t="shared" si="40" ref="BU125:BU188">IF(BV125=0,BU122+1,0)</f>
        <v>1</v>
      </c>
      <c r="BV125" s="36">
        <f t="shared" si="38"/>
        <v>0</v>
      </c>
      <c r="BW125" s="36">
        <f t="shared" si="37"/>
        <v>0</v>
      </c>
      <c r="BX125" s="33"/>
    </row>
    <row r="126" spans="66:76" ht="15.75">
      <c r="BN126" s="7">
        <f>BN122+1</f>
        <v>1</v>
      </c>
      <c r="BO126" s="5">
        <f t="shared" si="34"/>
        <v>4.32</v>
      </c>
      <c r="BP126" s="38">
        <f t="shared" si="35"/>
        <v>-0.008999999999999985</v>
      </c>
      <c r="BQ126" s="13">
        <f t="shared" si="36"/>
        <v>-0.774</v>
      </c>
      <c r="BR126" s="5">
        <f>BR122</f>
        <v>0</v>
      </c>
      <c r="BS126" s="5">
        <f t="shared" si="39"/>
        <v>0</v>
      </c>
      <c r="BT126" s="39"/>
      <c r="BU126" s="33">
        <f t="shared" si="40"/>
        <v>2</v>
      </c>
      <c r="BV126" s="36">
        <f t="shared" si="38"/>
        <v>0</v>
      </c>
      <c r="BW126" s="36">
        <f>IF($P$4=0,0,IF($C$3=$C$4,BW125+$BW$43*BV126,IF(BV126&lt;0,$C$6,IF(BV126&gt;0,-$BN$7,-$C$2/2+$BP$118*BU126))))</f>
        <v>0</v>
      </c>
      <c r="BX126" s="33"/>
    </row>
    <row r="127" spans="66:76" ht="15.75">
      <c r="BN127" s="7">
        <f aca="true" t="shared" si="41" ref="BN127:BN190">BN123+1</f>
        <v>1</v>
      </c>
      <c r="BO127" s="5">
        <f t="shared" si="34"/>
        <v>4.32</v>
      </c>
      <c r="BP127" s="38">
        <f t="shared" si="35"/>
        <v>-0.008999999999999985</v>
      </c>
      <c r="BQ127" s="13">
        <f t="shared" si="36"/>
        <v>-0.774</v>
      </c>
      <c r="BR127" s="5">
        <f aca="true" t="shared" si="42" ref="BR127:BR190">BR123</f>
        <v>0</v>
      </c>
      <c r="BS127" s="5">
        <f t="shared" si="39"/>
        <v>0</v>
      </c>
      <c r="BT127" s="39"/>
      <c r="BU127" s="33">
        <f t="shared" si="40"/>
        <v>2</v>
      </c>
      <c r="BV127" s="36">
        <f t="shared" si="38"/>
        <v>0</v>
      </c>
      <c r="BW127" s="36">
        <f t="shared" si="37"/>
        <v>0</v>
      </c>
      <c r="BX127" s="33"/>
    </row>
    <row r="128" spans="66:76" ht="15.75">
      <c r="BN128" s="7">
        <f t="shared" si="41"/>
        <v>1</v>
      </c>
      <c r="BO128" s="5">
        <f t="shared" si="34"/>
        <v>4.32</v>
      </c>
      <c r="BP128" s="38">
        <f t="shared" si="35"/>
        <v>-0.008999999999999985</v>
      </c>
      <c r="BQ128" s="13">
        <f t="shared" si="36"/>
        <v>-0.774</v>
      </c>
      <c r="BR128" s="5">
        <f t="shared" si="42"/>
        <v>0</v>
      </c>
      <c r="BS128" s="5">
        <f t="shared" si="39"/>
        <v>0</v>
      </c>
      <c r="BT128" s="39"/>
      <c r="BU128" s="33">
        <f t="shared" si="40"/>
        <v>2</v>
      </c>
      <c r="BV128" s="36">
        <f t="shared" si="38"/>
        <v>0</v>
      </c>
      <c r="BW128" s="36">
        <f t="shared" si="37"/>
        <v>0</v>
      </c>
      <c r="BX128" s="33"/>
    </row>
    <row r="129" spans="66:76" ht="15.75">
      <c r="BN129" s="7">
        <f t="shared" si="41"/>
        <v>1</v>
      </c>
      <c r="BO129" s="5">
        <f t="shared" si="34"/>
        <v>4.32</v>
      </c>
      <c r="BP129" s="38">
        <f t="shared" si="35"/>
        <v>-0.008999999999999985</v>
      </c>
      <c r="BQ129" s="13">
        <f t="shared" si="36"/>
        <v>-0.774</v>
      </c>
      <c r="BR129" s="5">
        <f t="shared" si="42"/>
        <v>0</v>
      </c>
      <c r="BS129" s="5">
        <f t="shared" si="39"/>
        <v>0</v>
      </c>
      <c r="BT129" s="39"/>
      <c r="BU129" s="33">
        <f t="shared" si="40"/>
        <v>3</v>
      </c>
      <c r="BV129" s="36">
        <f t="shared" si="38"/>
        <v>0</v>
      </c>
      <c r="BW129" s="36">
        <f t="shared" si="33"/>
        <v>0</v>
      </c>
      <c r="BX129" s="33"/>
    </row>
    <row r="130" spans="66:76" ht="15.75">
      <c r="BN130" s="7">
        <f t="shared" si="41"/>
        <v>2</v>
      </c>
      <c r="BO130" s="5">
        <f t="shared" si="34"/>
        <v>4.14</v>
      </c>
      <c r="BP130" s="38">
        <f t="shared" si="35"/>
        <v>-0.018000000000000016</v>
      </c>
      <c r="BQ130" s="13">
        <f t="shared" si="36"/>
        <v>-0.7605</v>
      </c>
      <c r="BR130" s="5">
        <f t="shared" si="42"/>
        <v>0</v>
      </c>
      <c r="BS130" s="5">
        <f t="shared" si="39"/>
        <v>0</v>
      </c>
      <c r="BT130" s="39"/>
      <c r="BU130" s="33">
        <f t="shared" si="40"/>
        <v>3</v>
      </c>
      <c r="BV130" s="36">
        <f t="shared" si="38"/>
        <v>0</v>
      </c>
      <c r="BW130" s="36">
        <f t="shared" si="33"/>
        <v>0</v>
      </c>
      <c r="BX130" s="33"/>
    </row>
    <row r="131" spans="66:76" ht="15.75">
      <c r="BN131" s="7">
        <f t="shared" si="41"/>
        <v>2</v>
      </c>
      <c r="BO131" s="5">
        <f t="shared" si="34"/>
        <v>4.14</v>
      </c>
      <c r="BP131" s="38">
        <f t="shared" si="35"/>
        <v>-0.018000000000000016</v>
      </c>
      <c r="BQ131" s="13">
        <f t="shared" si="36"/>
        <v>-0.7605</v>
      </c>
      <c r="BR131" s="5">
        <f t="shared" si="42"/>
        <v>0</v>
      </c>
      <c r="BS131" s="5">
        <f t="shared" si="39"/>
        <v>0</v>
      </c>
      <c r="BT131" s="39"/>
      <c r="BU131" s="33">
        <f t="shared" si="40"/>
        <v>3</v>
      </c>
      <c r="BV131" s="36">
        <f t="shared" si="38"/>
        <v>0</v>
      </c>
      <c r="BW131" s="36">
        <f t="shared" si="33"/>
        <v>0</v>
      </c>
      <c r="BX131" s="33"/>
    </row>
    <row r="132" spans="66:76" ht="15.75">
      <c r="BN132" s="7">
        <f t="shared" si="41"/>
        <v>2</v>
      </c>
      <c r="BO132" s="5">
        <f t="shared" si="34"/>
        <v>4.14</v>
      </c>
      <c r="BP132" s="38">
        <f t="shared" si="35"/>
        <v>-0.018000000000000016</v>
      </c>
      <c r="BQ132" s="13">
        <f t="shared" si="36"/>
        <v>-0.7605</v>
      </c>
      <c r="BR132" s="5">
        <f t="shared" si="42"/>
        <v>0</v>
      </c>
      <c r="BS132" s="5">
        <f t="shared" si="39"/>
        <v>0</v>
      </c>
      <c r="BT132" s="39"/>
      <c r="BU132" s="33">
        <f t="shared" si="40"/>
        <v>4</v>
      </c>
      <c r="BV132" s="36">
        <f t="shared" si="38"/>
        <v>0</v>
      </c>
      <c r="BW132" s="36">
        <f t="shared" si="33"/>
        <v>0</v>
      </c>
      <c r="BX132" s="33"/>
    </row>
    <row r="133" spans="66:76" ht="15.75">
      <c r="BN133" s="7">
        <f t="shared" si="41"/>
        <v>2</v>
      </c>
      <c r="BO133" s="5">
        <f t="shared" si="34"/>
        <v>4.14</v>
      </c>
      <c r="BP133" s="38">
        <f t="shared" si="35"/>
        <v>-0.018000000000000016</v>
      </c>
      <c r="BQ133" s="13">
        <f>IF($C$3=$C$4,$BW$43,IF($BN$4&gt;0,(-$BN$7-BO133)/$BN$4,IF($BN$4&lt;0,(-$BN$7-BO133)/$BN$4)))</f>
        <v>-0.7605</v>
      </c>
      <c r="BR133" s="5">
        <f t="shared" si="42"/>
        <v>0</v>
      </c>
      <c r="BS133" s="5">
        <f t="shared" si="39"/>
        <v>0</v>
      </c>
      <c r="BT133" s="39"/>
      <c r="BU133" s="33">
        <f t="shared" si="40"/>
        <v>4</v>
      </c>
      <c r="BV133" s="36">
        <f t="shared" si="38"/>
        <v>0</v>
      </c>
      <c r="BW133" s="36">
        <f t="shared" si="33"/>
        <v>0</v>
      </c>
      <c r="BX133" s="33"/>
    </row>
    <row r="134" spans="66:76" ht="15.75">
      <c r="BN134" s="7">
        <f t="shared" si="41"/>
        <v>3</v>
      </c>
      <c r="BO134" s="5">
        <f t="shared" si="34"/>
        <v>3.96</v>
      </c>
      <c r="BP134" s="38">
        <f t="shared" si="35"/>
        <v>-0.027000000000000003</v>
      </c>
      <c r="BQ134" s="13">
        <f t="shared" si="36"/>
        <v>-0.747</v>
      </c>
      <c r="BR134" s="5">
        <f t="shared" si="42"/>
        <v>0</v>
      </c>
      <c r="BS134" s="5">
        <f t="shared" si="39"/>
        <v>0</v>
      </c>
      <c r="BT134" s="39"/>
      <c r="BU134" s="33">
        <f t="shared" si="40"/>
        <v>4</v>
      </c>
      <c r="BV134" s="36">
        <f t="shared" si="38"/>
        <v>0</v>
      </c>
      <c r="BW134" s="36">
        <f t="shared" si="33"/>
        <v>0</v>
      </c>
      <c r="BX134" s="33"/>
    </row>
    <row r="135" spans="66:76" ht="15.75">
      <c r="BN135" s="7">
        <f t="shared" si="41"/>
        <v>3</v>
      </c>
      <c r="BO135" s="5">
        <f t="shared" si="34"/>
        <v>3.96</v>
      </c>
      <c r="BP135" s="38">
        <f t="shared" si="35"/>
        <v>-0.027000000000000003</v>
      </c>
      <c r="BQ135" s="13">
        <f t="shared" si="36"/>
        <v>-0.747</v>
      </c>
      <c r="BR135" s="5">
        <f t="shared" si="42"/>
        <v>0</v>
      </c>
      <c r="BS135" s="5">
        <f t="shared" si="39"/>
        <v>0</v>
      </c>
      <c r="BT135" s="39"/>
      <c r="BU135" s="33">
        <f t="shared" si="40"/>
        <v>5</v>
      </c>
      <c r="BV135" s="36">
        <f t="shared" si="38"/>
        <v>0</v>
      </c>
      <c r="BW135" s="36">
        <f t="shared" si="33"/>
        <v>0</v>
      </c>
      <c r="BX135" s="33"/>
    </row>
    <row r="136" spans="66:76" ht="15.75">
      <c r="BN136" s="7">
        <f t="shared" si="41"/>
        <v>3</v>
      </c>
      <c r="BO136" s="5">
        <f t="shared" si="34"/>
        <v>3.96</v>
      </c>
      <c r="BP136" s="38">
        <f t="shared" si="35"/>
        <v>-0.027000000000000003</v>
      </c>
      <c r="BQ136" s="13">
        <f t="shared" si="36"/>
        <v>-0.747</v>
      </c>
      <c r="BR136" s="5">
        <f t="shared" si="42"/>
        <v>0</v>
      </c>
      <c r="BS136" s="5">
        <f t="shared" si="39"/>
        <v>0</v>
      </c>
      <c r="BT136" s="39"/>
      <c r="BU136" s="33">
        <f t="shared" si="40"/>
        <v>5</v>
      </c>
      <c r="BV136" s="36">
        <f t="shared" si="38"/>
        <v>0</v>
      </c>
      <c r="BW136" s="36">
        <f t="shared" si="33"/>
        <v>0</v>
      </c>
      <c r="BX136" s="33"/>
    </row>
    <row r="137" spans="66:76" ht="15.75">
      <c r="BN137" s="7">
        <f t="shared" si="41"/>
        <v>3</v>
      </c>
      <c r="BO137" s="5">
        <f t="shared" si="34"/>
        <v>3.96</v>
      </c>
      <c r="BP137" s="38">
        <f t="shared" si="35"/>
        <v>-0.027000000000000003</v>
      </c>
      <c r="BQ137" s="13">
        <f aca="true" t="shared" si="43" ref="BQ137:BQ186">IF($C$3=$C$4,$BW$43,(-$BN$7-BO137)/$BN$4)</f>
        <v>-0.747</v>
      </c>
      <c r="BR137" s="5">
        <f t="shared" si="42"/>
        <v>0</v>
      </c>
      <c r="BS137" s="5">
        <f t="shared" si="39"/>
        <v>0</v>
      </c>
      <c r="BT137" s="39"/>
      <c r="BU137" s="33">
        <f t="shared" si="40"/>
        <v>5</v>
      </c>
      <c r="BV137" s="36">
        <f t="shared" si="38"/>
        <v>0</v>
      </c>
      <c r="BW137" s="36">
        <f t="shared" si="33"/>
        <v>0</v>
      </c>
      <c r="BX137" s="33"/>
    </row>
    <row r="138" spans="66:76" ht="15.75">
      <c r="BN138" s="7">
        <f t="shared" si="41"/>
        <v>4</v>
      </c>
      <c r="BO138" s="5">
        <f t="shared" si="34"/>
        <v>3.7800000000000002</v>
      </c>
      <c r="BP138" s="38">
        <f t="shared" si="35"/>
        <v>-0.03599999999999999</v>
      </c>
      <c r="BQ138" s="13">
        <f t="shared" si="43"/>
        <v>-0.7335</v>
      </c>
      <c r="BR138" s="5">
        <f t="shared" si="42"/>
        <v>0</v>
      </c>
      <c r="BS138" s="5">
        <f t="shared" si="39"/>
        <v>0</v>
      </c>
      <c r="BT138" s="39"/>
      <c r="BU138" s="33">
        <f t="shared" si="40"/>
        <v>6</v>
      </c>
      <c r="BV138" s="36">
        <f t="shared" si="38"/>
        <v>0</v>
      </c>
      <c r="BW138" s="36">
        <f t="shared" si="33"/>
        <v>0</v>
      </c>
      <c r="BX138" s="33"/>
    </row>
    <row r="139" spans="66:76" ht="15.75">
      <c r="BN139" s="7">
        <f t="shared" si="41"/>
        <v>4</v>
      </c>
      <c r="BO139" s="5">
        <f t="shared" si="34"/>
        <v>3.7800000000000002</v>
      </c>
      <c r="BP139" s="38">
        <f t="shared" si="35"/>
        <v>-0.03599999999999999</v>
      </c>
      <c r="BQ139" s="13">
        <f t="shared" si="43"/>
        <v>-0.7335</v>
      </c>
      <c r="BR139" s="5">
        <f t="shared" si="42"/>
        <v>0</v>
      </c>
      <c r="BS139" s="5">
        <f t="shared" si="39"/>
        <v>0</v>
      </c>
      <c r="BT139" s="39"/>
      <c r="BU139" s="33">
        <f t="shared" si="40"/>
        <v>6</v>
      </c>
      <c r="BV139" s="36">
        <f t="shared" si="38"/>
        <v>0</v>
      </c>
      <c r="BW139" s="36">
        <f t="shared" si="33"/>
        <v>0</v>
      </c>
      <c r="BX139" s="33"/>
    </row>
    <row r="140" spans="66:76" ht="15.75">
      <c r="BN140" s="7">
        <f t="shared" si="41"/>
        <v>4</v>
      </c>
      <c r="BO140" s="5">
        <f t="shared" si="34"/>
        <v>3.7800000000000002</v>
      </c>
      <c r="BP140" s="13">
        <f t="shared" si="35"/>
        <v>-0.03599999999999999</v>
      </c>
      <c r="BQ140" s="13">
        <f t="shared" si="43"/>
        <v>-0.7335</v>
      </c>
      <c r="BR140" s="5">
        <f t="shared" si="42"/>
        <v>0</v>
      </c>
      <c r="BS140" s="5">
        <f t="shared" si="39"/>
        <v>0</v>
      </c>
      <c r="BT140" s="39"/>
      <c r="BU140" s="33">
        <f t="shared" si="40"/>
        <v>6</v>
      </c>
      <c r="BV140" s="36">
        <f t="shared" si="38"/>
        <v>0</v>
      </c>
      <c r="BW140" s="36">
        <f t="shared" si="33"/>
        <v>0</v>
      </c>
      <c r="BX140" s="33"/>
    </row>
    <row r="141" spans="66:76" ht="15.75">
      <c r="BN141" s="7">
        <f t="shared" si="41"/>
        <v>4</v>
      </c>
      <c r="BO141" s="5">
        <f t="shared" si="34"/>
        <v>3.7800000000000002</v>
      </c>
      <c r="BP141" s="13">
        <f t="shared" si="35"/>
        <v>-0.03599999999999999</v>
      </c>
      <c r="BQ141" s="13">
        <f t="shared" si="43"/>
        <v>-0.7335</v>
      </c>
      <c r="BR141" s="5">
        <f t="shared" si="42"/>
        <v>0</v>
      </c>
      <c r="BS141" s="5">
        <f t="shared" si="39"/>
        <v>0</v>
      </c>
      <c r="BT141" s="39"/>
      <c r="BU141" s="33">
        <f t="shared" si="40"/>
        <v>7</v>
      </c>
      <c r="BV141" s="36">
        <f t="shared" si="38"/>
        <v>0</v>
      </c>
      <c r="BW141" s="36">
        <f t="shared" si="33"/>
        <v>0</v>
      </c>
      <c r="BX141" s="33"/>
    </row>
    <row r="142" spans="66:76" ht="15.75">
      <c r="BN142" s="7">
        <f t="shared" si="41"/>
        <v>5</v>
      </c>
      <c r="BO142" s="5">
        <f t="shared" si="34"/>
        <v>3.6</v>
      </c>
      <c r="BP142" s="13">
        <f t="shared" si="35"/>
        <v>-0.045</v>
      </c>
      <c r="BQ142" s="13">
        <f t="shared" si="43"/>
        <v>-0.7200000000000001</v>
      </c>
      <c r="BR142" s="5">
        <f t="shared" si="42"/>
        <v>0</v>
      </c>
      <c r="BS142" s="5">
        <f t="shared" si="39"/>
        <v>0</v>
      </c>
      <c r="BT142" s="39"/>
      <c r="BU142" s="33">
        <f t="shared" si="40"/>
        <v>7</v>
      </c>
      <c r="BV142" s="36">
        <f t="shared" si="38"/>
        <v>0</v>
      </c>
      <c r="BW142" s="36">
        <f t="shared" si="33"/>
        <v>0</v>
      </c>
      <c r="BX142" s="33"/>
    </row>
    <row r="143" spans="66:76" ht="15.75">
      <c r="BN143" s="7">
        <f t="shared" si="41"/>
        <v>5</v>
      </c>
      <c r="BO143" s="5">
        <f t="shared" si="34"/>
        <v>3.6</v>
      </c>
      <c r="BP143" s="13">
        <f t="shared" si="35"/>
        <v>-0.045</v>
      </c>
      <c r="BQ143" s="13">
        <f t="shared" si="43"/>
        <v>-0.7200000000000001</v>
      </c>
      <c r="BR143" s="5">
        <f t="shared" si="42"/>
        <v>0</v>
      </c>
      <c r="BS143" s="5">
        <f t="shared" si="39"/>
        <v>0</v>
      </c>
      <c r="BT143" s="39"/>
      <c r="BU143" s="33">
        <f t="shared" si="40"/>
        <v>7</v>
      </c>
      <c r="BV143" s="36">
        <f t="shared" si="38"/>
        <v>0</v>
      </c>
      <c r="BW143" s="36">
        <f t="shared" si="33"/>
        <v>0</v>
      </c>
      <c r="BX143" s="33"/>
    </row>
    <row r="144" spans="66:76" ht="15.75">
      <c r="BN144" s="7">
        <f t="shared" si="41"/>
        <v>5</v>
      </c>
      <c r="BO144" s="5">
        <f t="shared" si="34"/>
        <v>3.6</v>
      </c>
      <c r="BP144" s="13">
        <f t="shared" si="35"/>
        <v>-0.045</v>
      </c>
      <c r="BQ144" s="13">
        <f t="shared" si="43"/>
        <v>-0.7200000000000001</v>
      </c>
      <c r="BR144" s="5">
        <f t="shared" si="42"/>
        <v>0</v>
      </c>
      <c r="BS144" s="5">
        <f t="shared" si="39"/>
        <v>0</v>
      </c>
      <c r="BT144" s="39"/>
      <c r="BU144" s="33">
        <f t="shared" si="40"/>
        <v>8</v>
      </c>
      <c r="BV144" s="36">
        <f t="shared" si="38"/>
        <v>0</v>
      </c>
      <c r="BW144" s="36">
        <f t="shared" si="33"/>
        <v>0</v>
      </c>
      <c r="BX144" s="33"/>
    </row>
    <row r="145" spans="66:76" ht="15.75">
      <c r="BN145" s="7">
        <f t="shared" si="41"/>
        <v>5</v>
      </c>
      <c r="BO145" s="5">
        <f t="shared" si="34"/>
        <v>3.6</v>
      </c>
      <c r="BP145" s="13">
        <f t="shared" si="35"/>
        <v>-0.045</v>
      </c>
      <c r="BQ145" s="13">
        <f t="shared" si="43"/>
        <v>-0.7200000000000001</v>
      </c>
      <c r="BR145" s="5">
        <f t="shared" si="42"/>
        <v>0</v>
      </c>
      <c r="BS145" s="5">
        <f t="shared" si="39"/>
        <v>0</v>
      </c>
      <c r="BT145" s="39"/>
      <c r="BU145" s="33">
        <f t="shared" si="40"/>
        <v>8</v>
      </c>
      <c r="BV145" s="36">
        <f t="shared" si="38"/>
        <v>0</v>
      </c>
      <c r="BW145" s="36">
        <f t="shared" si="33"/>
        <v>0</v>
      </c>
      <c r="BX145" s="33"/>
    </row>
    <row r="146" spans="66:76" ht="15.75">
      <c r="BN146" s="7">
        <f t="shared" si="41"/>
        <v>6</v>
      </c>
      <c r="BO146" s="5">
        <f t="shared" si="34"/>
        <v>3.42</v>
      </c>
      <c r="BP146" s="13">
        <f t="shared" si="35"/>
        <v>-0.054000000000000006</v>
      </c>
      <c r="BQ146" s="13">
        <f t="shared" si="43"/>
        <v>-0.7065000000000001</v>
      </c>
      <c r="BR146" s="5">
        <f t="shared" si="42"/>
        <v>0</v>
      </c>
      <c r="BS146" s="5">
        <f t="shared" si="39"/>
        <v>0</v>
      </c>
      <c r="BT146" s="39"/>
      <c r="BU146" s="33">
        <f t="shared" si="40"/>
        <v>8</v>
      </c>
      <c r="BV146" s="36">
        <f t="shared" si="38"/>
        <v>0</v>
      </c>
      <c r="BW146" s="36">
        <f t="shared" si="33"/>
        <v>0</v>
      </c>
      <c r="BX146" s="33"/>
    </row>
    <row r="147" spans="66:76" ht="15.75">
      <c r="BN147" s="7">
        <f t="shared" si="41"/>
        <v>6</v>
      </c>
      <c r="BO147" s="5">
        <f t="shared" si="34"/>
        <v>3.42</v>
      </c>
      <c r="BP147" s="13">
        <f t="shared" si="35"/>
        <v>-0.054000000000000006</v>
      </c>
      <c r="BQ147" s="13">
        <f t="shared" si="43"/>
        <v>-0.7065000000000001</v>
      </c>
      <c r="BR147" s="5">
        <f t="shared" si="42"/>
        <v>0</v>
      </c>
      <c r="BS147" s="5">
        <f t="shared" si="39"/>
        <v>0</v>
      </c>
      <c r="BT147" s="39"/>
      <c r="BU147" s="33">
        <f t="shared" si="40"/>
        <v>9</v>
      </c>
      <c r="BV147" s="36">
        <f t="shared" si="38"/>
        <v>0</v>
      </c>
      <c r="BW147" s="36">
        <f t="shared" si="33"/>
        <v>0</v>
      </c>
      <c r="BX147" s="33"/>
    </row>
    <row r="148" spans="66:76" ht="15.75">
      <c r="BN148" s="7">
        <f t="shared" si="41"/>
        <v>6</v>
      </c>
      <c r="BO148" s="5">
        <f t="shared" si="34"/>
        <v>3.42</v>
      </c>
      <c r="BP148" s="13">
        <f t="shared" si="35"/>
        <v>-0.054000000000000006</v>
      </c>
      <c r="BQ148" s="13">
        <f t="shared" si="43"/>
        <v>-0.7065000000000001</v>
      </c>
      <c r="BR148" s="5">
        <f t="shared" si="42"/>
        <v>0</v>
      </c>
      <c r="BS148" s="5">
        <f t="shared" si="39"/>
        <v>0</v>
      </c>
      <c r="BT148" s="33"/>
      <c r="BU148" s="33">
        <f t="shared" si="40"/>
        <v>9</v>
      </c>
      <c r="BV148" s="36">
        <f t="shared" si="38"/>
        <v>0</v>
      </c>
      <c r="BW148" s="36">
        <f t="shared" si="33"/>
        <v>0</v>
      </c>
      <c r="BX148" s="33"/>
    </row>
    <row r="149" spans="66:76" ht="15.75">
      <c r="BN149" s="7">
        <f t="shared" si="41"/>
        <v>6</v>
      </c>
      <c r="BO149" s="5">
        <f t="shared" si="34"/>
        <v>3.42</v>
      </c>
      <c r="BP149" s="13">
        <f t="shared" si="35"/>
        <v>-0.054000000000000006</v>
      </c>
      <c r="BQ149" s="13">
        <f t="shared" si="43"/>
        <v>-0.7065000000000001</v>
      </c>
      <c r="BR149" s="5">
        <f t="shared" si="42"/>
        <v>0</v>
      </c>
      <c r="BS149" s="5">
        <f t="shared" si="39"/>
        <v>0</v>
      </c>
      <c r="BT149" s="33"/>
      <c r="BU149" s="33">
        <f t="shared" si="40"/>
        <v>9</v>
      </c>
      <c r="BV149" s="36">
        <f t="shared" si="38"/>
        <v>0</v>
      </c>
      <c r="BW149" s="36">
        <f t="shared" si="33"/>
        <v>0</v>
      </c>
      <c r="BX149" s="33"/>
    </row>
    <row r="150" spans="66:76" ht="15.75">
      <c r="BN150" s="7">
        <f t="shared" si="41"/>
        <v>7</v>
      </c>
      <c r="BO150" s="5">
        <f t="shared" si="34"/>
        <v>3.24</v>
      </c>
      <c r="BP150" s="13">
        <f t="shared" si="35"/>
        <v>-0.06299999999999999</v>
      </c>
      <c r="BQ150" s="13">
        <f t="shared" si="43"/>
        <v>-0.6930000000000002</v>
      </c>
      <c r="BR150" s="5">
        <f t="shared" si="42"/>
        <v>0</v>
      </c>
      <c r="BS150" s="5">
        <f t="shared" si="39"/>
        <v>0</v>
      </c>
      <c r="BT150" s="33"/>
      <c r="BU150" s="33">
        <f t="shared" si="40"/>
        <v>10</v>
      </c>
      <c r="BV150" s="36">
        <f t="shared" si="38"/>
        <v>0</v>
      </c>
      <c r="BW150" s="36">
        <f t="shared" si="33"/>
        <v>0</v>
      </c>
      <c r="BX150" s="33"/>
    </row>
    <row r="151" spans="66:76" ht="15.75">
      <c r="BN151" s="7">
        <f t="shared" si="41"/>
        <v>7</v>
      </c>
      <c r="BO151" s="5">
        <f t="shared" si="34"/>
        <v>3.24</v>
      </c>
      <c r="BP151" s="13">
        <f t="shared" si="35"/>
        <v>-0.06299999999999999</v>
      </c>
      <c r="BQ151" s="13">
        <f t="shared" si="43"/>
        <v>-0.6930000000000002</v>
      </c>
      <c r="BR151" s="5">
        <f t="shared" si="42"/>
        <v>0</v>
      </c>
      <c r="BS151" s="5">
        <f t="shared" si="39"/>
        <v>0</v>
      </c>
      <c r="BT151" s="33"/>
      <c r="BU151" s="33">
        <f t="shared" si="40"/>
        <v>10</v>
      </c>
      <c r="BV151" s="36">
        <f t="shared" si="38"/>
        <v>0</v>
      </c>
      <c r="BW151" s="36">
        <f t="shared" si="33"/>
        <v>0</v>
      </c>
      <c r="BX151" s="33"/>
    </row>
    <row r="152" spans="66:76" ht="15.75">
      <c r="BN152" s="7">
        <f t="shared" si="41"/>
        <v>7</v>
      </c>
      <c r="BO152" s="5">
        <f t="shared" si="34"/>
        <v>3.24</v>
      </c>
      <c r="BP152" s="13">
        <f t="shared" si="35"/>
        <v>-0.06299999999999999</v>
      </c>
      <c r="BQ152" s="13">
        <f t="shared" si="43"/>
        <v>-0.6930000000000002</v>
      </c>
      <c r="BR152" s="5">
        <f t="shared" si="42"/>
        <v>0</v>
      </c>
      <c r="BS152" s="5">
        <f t="shared" si="39"/>
        <v>0</v>
      </c>
      <c r="BT152" s="33"/>
      <c r="BU152" s="33">
        <f t="shared" si="40"/>
        <v>10</v>
      </c>
      <c r="BV152" s="36">
        <f t="shared" si="38"/>
        <v>0</v>
      </c>
      <c r="BW152" s="36">
        <f aca="true" t="shared" si="44" ref="BW152:BW183">IF($P$4=0,0,IF(BV152&lt;0,$C$6,IF(BV152&gt;0,-$BN$7,-$C$2/2+$BP$118*BU152)))</f>
        <v>0</v>
      </c>
      <c r="BX152" s="33"/>
    </row>
    <row r="153" spans="66:76" ht="15.75">
      <c r="BN153" s="7">
        <f t="shared" si="41"/>
        <v>7</v>
      </c>
      <c r="BO153" s="5">
        <f t="shared" si="34"/>
        <v>3.24</v>
      </c>
      <c r="BP153" s="13">
        <f t="shared" si="35"/>
        <v>-0.06299999999999999</v>
      </c>
      <c r="BQ153" s="13">
        <f t="shared" si="43"/>
        <v>-0.6930000000000002</v>
      </c>
      <c r="BR153" s="5">
        <f t="shared" si="42"/>
        <v>0</v>
      </c>
      <c r="BS153" s="5">
        <f t="shared" si="39"/>
        <v>0</v>
      </c>
      <c r="BT153" s="33"/>
      <c r="BU153" s="33">
        <f t="shared" si="40"/>
        <v>11</v>
      </c>
      <c r="BV153" s="36">
        <f t="shared" si="38"/>
        <v>0</v>
      </c>
      <c r="BW153" s="36">
        <f t="shared" si="44"/>
        <v>0</v>
      </c>
      <c r="BX153" s="33"/>
    </row>
    <row r="154" spans="66:76" ht="15.75">
      <c r="BN154" s="7">
        <f t="shared" si="41"/>
        <v>8</v>
      </c>
      <c r="BO154" s="5">
        <f t="shared" si="34"/>
        <v>3.06</v>
      </c>
      <c r="BP154" s="13">
        <f t="shared" si="35"/>
        <v>-0.072</v>
      </c>
      <c r="BQ154" s="13">
        <f t="shared" si="43"/>
        <v>-0.6795</v>
      </c>
      <c r="BR154" s="5">
        <f t="shared" si="42"/>
        <v>0</v>
      </c>
      <c r="BS154" s="5">
        <f t="shared" si="39"/>
        <v>0</v>
      </c>
      <c r="BT154" s="33"/>
      <c r="BU154" s="33">
        <f t="shared" si="40"/>
        <v>11</v>
      </c>
      <c r="BV154" s="36">
        <f t="shared" si="38"/>
        <v>0</v>
      </c>
      <c r="BW154" s="36">
        <f t="shared" si="44"/>
        <v>0</v>
      </c>
      <c r="BX154" s="33"/>
    </row>
    <row r="155" spans="66:76" ht="15.75">
      <c r="BN155" s="7">
        <f t="shared" si="41"/>
        <v>8</v>
      </c>
      <c r="BO155" s="5">
        <f t="shared" si="34"/>
        <v>3.06</v>
      </c>
      <c r="BP155" s="13">
        <f t="shared" si="35"/>
        <v>-0.072</v>
      </c>
      <c r="BQ155" s="13">
        <f t="shared" si="43"/>
        <v>-0.6795</v>
      </c>
      <c r="BR155" s="5">
        <f t="shared" si="42"/>
        <v>0</v>
      </c>
      <c r="BS155" s="5">
        <f t="shared" si="39"/>
        <v>0</v>
      </c>
      <c r="BT155" s="33"/>
      <c r="BU155" s="33">
        <f t="shared" si="40"/>
        <v>11</v>
      </c>
      <c r="BV155" s="36">
        <f t="shared" si="38"/>
        <v>0</v>
      </c>
      <c r="BW155" s="36">
        <f t="shared" si="44"/>
        <v>0</v>
      </c>
      <c r="BX155" s="33"/>
    </row>
    <row r="156" spans="66:76" ht="15.75">
      <c r="BN156" s="7">
        <f t="shared" si="41"/>
        <v>8</v>
      </c>
      <c r="BO156" s="5">
        <f t="shared" si="34"/>
        <v>3.06</v>
      </c>
      <c r="BP156" s="13">
        <f t="shared" si="35"/>
        <v>-0.072</v>
      </c>
      <c r="BQ156" s="13">
        <f t="shared" si="43"/>
        <v>-0.6795</v>
      </c>
      <c r="BR156" s="5">
        <f t="shared" si="42"/>
        <v>0</v>
      </c>
      <c r="BS156" s="5">
        <f t="shared" si="39"/>
        <v>0</v>
      </c>
      <c r="BT156" s="33"/>
      <c r="BU156" s="33">
        <f t="shared" si="40"/>
        <v>12</v>
      </c>
      <c r="BV156" s="36">
        <f t="shared" si="38"/>
        <v>0</v>
      </c>
      <c r="BW156" s="36">
        <f t="shared" si="44"/>
        <v>0</v>
      </c>
      <c r="BX156" s="33"/>
    </row>
    <row r="157" spans="66:76" ht="15.75">
      <c r="BN157" s="7">
        <f t="shared" si="41"/>
        <v>8</v>
      </c>
      <c r="BO157" s="5">
        <f t="shared" si="34"/>
        <v>3.06</v>
      </c>
      <c r="BP157" s="13">
        <f t="shared" si="35"/>
        <v>-0.072</v>
      </c>
      <c r="BQ157" s="13">
        <f t="shared" si="43"/>
        <v>-0.6795</v>
      </c>
      <c r="BR157" s="5">
        <f t="shared" si="42"/>
        <v>0</v>
      </c>
      <c r="BS157" s="5">
        <f t="shared" si="39"/>
        <v>0</v>
      </c>
      <c r="BT157" s="33"/>
      <c r="BU157" s="33">
        <f t="shared" si="40"/>
        <v>12</v>
      </c>
      <c r="BV157" s="36">
        <f t="shared" si="38"/>
        <v>0</v>
      </c>
      <c r="BW157" s="36">
        <f t="shared" si="44"/>
        <v>0</v>
      </c>
      <c r="BX157" s="33"/>
    </row>
    <row r="158" spans="66:76" ht="15.75">
      <c r="BN158" s="7">
        <f t="shared" si="41"/>
        <v>9</v>
      </c>
      <c r="BO158" s="5">
        <f t="shared" si="34"/>
        <v>2.88</v>
      </c>
      <c r="BP158" s="13">
        <f t="shared" si="35"/>
        <v>-0.081</v>
      </c>
      <c r="BQ158" s="13">
        <f t="shared" si="43"/>
        <v>-0.666</v>
      </c>
      <c r="BR158" s="5">
        <f t="shared" si="42"/>
        <v>0</v>
      </c>
      <c r="BS158" s="5">
        <f t="shared" si="39"/>
        <v>0</v>
      </c>
      <c r="BT158" s="33"/>
      <c r="BU158" s="33">
        <f t="shared" si="40"/>
        <v>12</v>
      </c>
      <c r="BV158" s="36">
        <f t="shared" si="38"/>
        <v>0</v>
      </c>
      <c r="BW158" s="36">
        <f t="shared" si="44"/>
        <v>0</v>
      </c>
      <c r="BX158" s="33"/>
    </row>
    <row r="159" spans="66:76" ht="15.75">
      <c r="BN159" s="7">
        <f t="shared" si="41"/>
        <v>9</v>
      </c>
      <c r="BO159" s="5">
        <f t="shared" si="34"/>
        <v>2.88</v>
      </c>
      <c r="BP159" s="13">
        <f t="shared" si="35"/>
        <v>-0.081</v>
      </c>
      <c r="BQ159" s="13">
        <f t="shared" si="43"/>
        <v>-0.666</v>
      </c>
      <c r="BR159" s="5">
        <f t="shared" si="42"/>
        <v>0</v>
      </c>
      <c r="BS159" s="5">
        <f t="shared" si="39"/>
        <v>0</v>
      </c>
      <c r="BT159" s="33"/>
      <c r="BU159" s="33">
        <f t="shared" si="40"/>
        <v>13</v>
      </c>
      <c r="BV159" s="36">
        <f t="shared" si="38"/>
        <v>0</v>
      </c>
      <c r="BW159" s="36">
        <f t="shared" si="44"/>
        <v>0</v>
      </c>
      <c r="BX159" s="33"/>
    </row>
    <row r="160" spans="66:76" ht="15.75">
      <c r="BN160" s="7">
        <f t="shared" si="41"/>
        <v>9</v>
      </c>
      <c r="BO160" s="5">
        <f t="shared" si="34"/>
        <v>2.88</v>
      </c>
      <c r="BP160" s="13">
        <f t="shared" si="35"/>
        <v>-0.081</v>
      </c>
      <c r="BQ160" s="13">
        <f t="shared" si="43"/>
        <v>-0.666</v>
      </c>
      <c r="BR160" s="5">
        <f t="shared" si="42"/>
        <v>0</v>
      </c>
      <c r="BS160" s="5">
        <f t="shared" si="39"/>
        <v>0</v>
      </c>
      <c r="BT160" s="33"/>
      <c r="BU160" s="33">
        <f t="shared" si="40"/>
        <v>13</v>
      </c>
      <c r="BV160" s="36">
        <f t="shared" si="38"/>
        <v>0</v>
      </c>
      <c r="BW160" s="36">
        <f t="shared" si="44"/>
        <v>0</v>
      </c>
      <c r="BX160" s="33"/>
    </row>
    <row r="161" spans="66:76" ht="15.75">
      <c r="BN161" s="7">
        <f t="shared" si="41"/>
        <v>9</v>
      </c>
      <c r="BO161" s="5">
        <f t="shared" si="34"/>
        <v>2.88</v>
      </c>
      <c r="BP161" s="13">
        <f t="shared" si="35"/>
        <v>-0.081</v>
      </c>
      <c r="BQ161" s="13">
        <f t="shared" si="43"/>
        <v>-0.666</v>
      </c>
      <c r="BR161" s="5">
        <f t="shared" si="42"/>
        <v>0</v>
      </c>
      <c r="BS161" s="5">
        <f t="shared" si="39"/>
        <v>0</v>
      </c>
      <c r="BT161" s="33"/>
      <c r="BU161" s="33">
        <f t="shared" si="40"/>
        <v>13</v>
      </c>
      <c r="BV161" s="36">
        <f t="shared" si="38"/>
        <v>0</v>
      </c>
      <c r="BW161" s="36">
        <f t="shared" si="44"/>
        <v>0</v>
      </c>
      <c r="BX161" s="33"/>
    </row>
    <row r="162" spans="66:76" ht="15.75">
      <c r="BN162" s="7">
        <f t="shared" si="41"/>
        <v>10</v>
      </c>
      <c r="BO162" s="5">
        <f t="shared" si="34"/>
        <v>2.7</v>
      </c>
      <c r="BP162" s="13">
        <f t="shared" si="35"/>
        <v>-0.09</v>
      </c>
      <c r="BQ162" s="13">
        <f t="shared" si="43"/>
        <v>-0.6525000000000001</v>
      </c>
      <c r="BR162" s="5">
        <f t="shared" si="42"/>
        <v>0</v>
      </c>
      <c r="BS162" s="5">
        <f t="shared" si="39"/>
        <v>0</v>
      </c>
      <c r="BT162" s="33"/>
      <c r="BU162" s="33">
        <f t="shared" si="40"/>
        <v>14</v>
      </c>
      <c r="BV162" s="36">
        <f t="shared" si="38"/>
        <v>0</v>
      </c>
      <c r="BW162" s="36">
        <f t="shared" si="44"/>
        <v>0</v>
      </c>
      <c r="BX162" s="33"/>
    </row>
    <row r="163" spans="66:76" ht="15.75">
      <c r="BN163" s="7">
        <f t="shared" si="41"/>
        <v>10</v>
      </c>
      <c r="BO163" s="5">
        <f t="shared" si="34"/>
        <v>2.7</v>
      </c>
      <c r="BP163" s="13">
        <f t="shared" si="35"/>
        <v>-0.09</v>
      </c>
      <c r="BQ163" s="13">
        <f t="shared" si="43"/>
        <v>-0.6525000000000001</v>
      </c>
      <c r="BR163" s="5">
        <f t="shared" si="42"/>
        <v>0</v>
      </c>
      <c r="BS163" s="5">
        <f t="shared" si="39"/>
        <v>0</v>
      </c>
      <c r="BT163" s="33"/>
      <c r="BU163" s="33">
        <f t="shared" si="40"/>
        <v>14</v>
      </c>
      <c r="BV163" s="36">
        <f t="shared" si="38"/>
        <v>0</v>
      </c>
      <c r="BW163" s="36">
        <f t="shared" si="44"/>
        <v>0</v>
      </c>
      <c r="BX163" s="33"/>
    </row>
    <row r="164" spans="66:76" ht="15.75">
      <c r="BN164" s="7">
        <f t="shared" si="41"/>
        <v>10</v>
      </c>
      <c r="BO164" s="5">
        <f t="shared" si="34"/>
        <v>2.7</v>
      </c>
      <c r="BP164" s="13">
        <f t="shared" si="35"/>
        <v>-0.09</v>
      </c>
      <c r="BQ164" s="13">
        <f t="shared" si="43"/>
        <v>-0.6525000000000001</v>
      </c>
      <c r="BR164" s="5">
        <f t="shared" si="42"/>
        <v>0</v>
      </c>
      <c r="BS164" s="5">
        <f t="shared" si="39"/>
        <v>0</v>
      </c>
      <c r="BT164" s="33"/>
      <c r="BU164" s="33">
        <f t="shared" si="40"/>
        <v>14</v>
      </c>
      <c r="BV164" s="36">
        <f t="shared" si="38"/>
        <v>0</v>
      </c>
      <c r="BW164" s="36">
        <f t="shared" si="44"/>
        <v>0</v>
      </c>
      <c r="BX164" s="33"/>
    </row>
    <row r="165" spans="66:76" ht="15.75">
      <c r="BN165" s="7">
        <f t="shared" si="41"/>
        <v>10</v>
      </c>
      <c r="BO165" s="5">
        <f t="shared" si="34"/>
        <v>2.7</v>
      </c>
      <c r="BP165" s="13">
        <f t="shared" si="35"/>
        <v>-0.09</v>
      </c>
      <c r="BQ165" s="13">
        <f t="shared" si="43"/>
        <v>-0.6525000000000001</v>
      </c>
      <c r="BR165" s="5">
        <f t="shared" si="42"/>
        <v>0</v>
      </c>
      <c r="BS165" s="5">
        <f t="shared" si="39"/>
        <v>0</v>
      </c>
      <c r="BT165" s="33"/>
      <c r="BU165" s="33">
        <f t="shared" si="40"/>
        <v>15</v>
      </c>
      <c r="BV165" s="36">
        <f t="shared" si="38"/>
        <v>0</v>
      </c>
      <c r="BW165" s="36">
        <f t="shared" si="44"/>
        <v>0</v>
      </c>
      <c r="BX165" s="33"/>
    </row>
    <row r="166" spans="66:76" ht="15.75">
      <c r="BN166" s="7">
        <f t="shared" si="41"/>
        <v>11</v>
      </c>
      <c r="BO166" s="5">
        <f t="shared" si="34"/>
        <v>2.52</v>
      </c>
      <c r="BP166" s="13">
        <f t="shared" si="35"/>
        <v>-0.099</v>
      </c>
      <c r="BQ166" s="13">
        <f t="shared" si="43"/>
        <v>-0.6390000000000001</v>
      </c>
      <c r="BR166" s="5">
        <f t="shared" si="42"/>
        <v>0</v>
      </c>
      <c r="BS166" s="5">
        <f t="shared" si="39"/>
        <v>0</v>
      </c>
      <c r="BT166" s="33"/>
      <c r="BU166" s="33">
        <f t="shared" si="40"/>
        <v>15</v>
      </c>
      <c r="BV166" s="36">
        <f t="shared" si="38"/>
        <v>0</v>
      </c>
      <c r="BW166" s="36">
        <f t="shared" si="44"/>
        <v>0</v>
      </c>
      <c r="BX166" s="33"/>
    </row>
    <row r="167" spans="66:76" ht="15.75">
      <c r="BN167" s="7">
        <f t="shared" si="41"/>
        <v>11</v>
      </c>
      <c r="BO167" s="5">
        <f t="shared" si="34"/>
        <v>2.52</v>
      </c>
      <c r="BP167" s="13">
        <f t="shared" si="35"/>
        <v>-0.099</v>
      </c>
      <c r="BQ167" s="13">
        <f t="shared" si="43"/>
        <v>-0.6390000000000001</v>
      </c>
      <c r="BR167" s="5">
        <f t="shared" si="42"/>
        <v>0</v>
      </c>
      <c r="BS167" s="5">
        <f t="shared" si="39"/>
        <v>0</v>
      </c>
      <c r="BT167" s="33"/>
      <c r="BU167" s="33">
        <f t="shared" si="40"/>
        <v>15</v>
      </c>
      <c r="BV167" s="36">
        <f t="shared" si="38"/>
        <v>0</v>
      </c>
      <c r="BW167" s="36">
        <f t="shared" si="44"/>
        <v>0</v>
      </c>
      <c r="BX167" s="33"/>
    </row>
    <row r="168" spans="66:76" ht="15.75">
      <c r="BN168" s="7">
        <f t="shared" si="41"/>
        <v>11</v>
      </c>
      <c r="BO168" s="5">
        <f t="shared" si="34"/>
        <v>2.52</v>
      </c>
      <c r="BP168" s="13">
        <f t="shared" si="35"/>
        <v>-0.099</v>
      </c>
      <c r="BQ168" s="13">
        <f t="shared" si="43"/>
        <v>-0.6390000000000001</v>
      </c>
      <c r="BR168" s="5">
        <f t="shared" si="42"/>
        <v>0</v>
      </c>
      <c r="BS168" s="5">
        <f t="shared" si="39"/>
        <v>0</v>
      </c>
      <c r="BT168" s="33"/>
      <c r="BU168" s="33">
        <f t="shared" si="40"/>
        <v>16</v>
      </c>
      <c r="BV168" s="36">
        <f t="shared" si="38"/>
        <v>0</v>
      </c>
      <c r="BW168" s="36">
        <f t="shared" si="44"/>
        <v>0</v>
      </c>
      <c r="BX168" s="33"/>
    </row>
    <row r="169" spans="66:76" ht="15.75">
      <c r="BN169" s="7">
        <f t="shared" si="41"/>
        <v>11</v>
      </c>
      <c r="BO169" s="5">
        <f t="shared" si="34"/>
        <v>2.52</v>
      </c>
      <c r="BP169" s="13">
        <f t="shared" si="35"/>
        <v>-0.099</v>
      </c>
      <c r="BQ169" s="13">
        <f t="shared" si="43"/>
        <v>-0.6390000000000001</v>
      </c>
      <c r="BR169" s="5">
        <f t="shared" si="42"/>
        <v>0</v>
      </c>
      <c r="BS169" s="5">
        <f t="shared" si="39"/>
        <v>0</v>
      </c>
      <c r="BT169" s="33"/>
      <c r="BU169" s="33">
        <f t="shared" si="40"/>
        <v>16</v>
      </c>
      <c r="BV169" s="36">
        <f t="shared" si="38"/>
        <v>0</v>
      </c>
      <c r="BW169" s="36">
        <f t="shared" si="44"/>
        <v>0</v>
      </c>
      <c r="BX169" s="33"/>
    </row>
    <row r="170" spans="66:76" ht="15.75">
      <c r="BN170" s="7">
        <f t="shared" si="41"/>
        <v>12</v>
      </c>
      <c r="BO170" s="5">
        <f t="shared" si="34"/>
        <v>2.34</v>
      </c>
      <c r="BP170" s="13">
        <f t="shared" si="35"/>
        <v>-0.10800000000000001</v>
      </c>
      <c r="BQ170" s="13">
        <f t="shared" si="43"/>
        <v>-0.6255</v>
      </c>
      <c r="BR170" s="5">
        <f t="shared" si="42"/>
        <v>0</v>
      </c>
      <c r="BS170" s="5">
        <f t="shared" si="39"/>
        <v>0</v>
      </c>
      <c r="BT170" s="33"/>
      <c r="BU170" s="33">
        <f t="shared" si="40"/>
        <v>16</v>
      </c>
      <c r="BV170" s="36">
        <f t="shared" si="38"/>
        <v>0</v>
      </c>
      <c r="BW170" s="36">
        <f t="shared" si="44"/>
        <v>0</v>
      </c>
      <c r="BX170" s="33"/>
    </row>
    <row r="171" spans="66:76" ht="15.75">
      <c r="BN171" s="7">
        <f t="shared" si="41"/>
        <v>12</v>
      </c>
      <c r="BO171" s="5">
        <f t="shared" si="34"/>
        <v>2.34</v>
      </c>
      <c r="BP171" s="13">
        <f t="shared" si="35"/>
        <v>-0.10800000000000001</v>
      </c>
      <c r="BQ171" s="13">
        <f t="shared" si="43"/>
        <v>-0.6255</v>
      </c>
      <c r="BR171" s="5">
        <f t="shared" si="42"/>
        <v>0</v>
      </c>
      <c r="BS171" s="5">
        <f t="shared" si="39"/>
        <v>0</v>
      </c>
      <c r="BT171" s="33"/>
      <c r="BU171" s="33">
        <f t="shared" si="40"/>
        <v>17</v>
      </c>
      <c r="BV171" s="36">
        <f t="shared" si="38"/>
        <v>0</v>
      </c>
      <c r="BW171" s="36">
        <f t="shared" si="44"/>
        <v>0</v>
      </c>
      <c r="BX171" s="33"/>
    </row>
    <row r="172" spans="66:76" ht="15.75">
      <c r="BN172" s="7">
        <f t="shared" si="41"/>
        <v>12</v>
      </c>
      <c r="BO172" s="5">
        <f t="shared" si="34"/>
        <v>2.34</v>
      </c>
      <c r="BP172" s="13">
        <f t="shared" si="35"/>
        <v>-0.10800000000000001</v>
      </c>
      <c r="BQ172" s="13">
        <f t="shared" si="43"/>
        <v>-0.6255</v>
      </c>
      <c r="BR172" s="5">
        <f t="shared" si="42"/>
        <v>0</v>
      </c>
      <c r="BS172" s="5">
        <f t="shared" si="39"/>
        <v>0</v>
      </c>
      <c r="BT172" s="33"/>
      <c r="BU172" s="33">
        <f t="shared" si="40"/>
        <v>17</v>
      </c>
      <c r="BV172" s="36">
        <f t="shared" si="38"/>
        <v>0</v>
      </c>
      <c r="BW172" s="36">
        <f t="shared" si="44"/>
        <v>0</v>
      </c>
      <c r="BX172" s="33"/>
    </row>
    <row r="173" spans="66:76" ht="15.75">
      <c r="BN173" s="7">
        <f t="shared" si="41"/>
        <v>12</v>
      </c>
      <c r="BO173" s="5">
        <f t="shared" si="34"/>
        <v>2.34</v>
      </c>
      <c r="BP173" s="13">
        <f t="shared" si="35"/>
        <v>-0.10800000000000001</v>
      </c>
      <c r="BQ173" s="13">
        <f t="shared" si="43"/>
        <v>-0.6255</v>
      </c>
      <c r="BR173" s="5">
        <f t="shared" si="42"/>
        <v>0</v>
      </c>
      <c r="BS173" s="5">
        <f t="shared" si="39"/>
        <v>0</v>
      </c>
      <c r="BT173" s="33"/>
      <c r="BU173" s="33">
        <f t="shared" si="40"/>
        <v>17</v>
      </c>
      <c r="BV173" s="36">
        <f t="shared" si="38"/>
        <v>0</v>
      </c>
      <c r="BW173" s="36">
        <f t="shared" si="44"/>
        <v>0</v>
      </c>
      <c r="BX173" s="33"/>
    </row>
    <row r="174" spans="66:76" ht="15.75">
      <c r="BN174" s="7">
        <f t="shared" si="41"/>
        <v>13</v>
      </c>
      <c r="BO174" s="5">
        <f t="shared" si="34"/>
        <v>2.16</v>
      </c>
      <c r="BP174" s="13">
        <f t="shared" si="35"/>
        <v>-0.11699999999999999</v>
      </c>
      <c r="BQ174" s="13">
        <f t="shared" si="43"/>
        <v>-0.612</v>
      </c>
      <c r="BR174" s="5">
        <f t="shared" si="42"/>
        <v>0</v>
      </c>
      <c r="BS174" s="5">
        <f t="shared" si="39"/>
        <v>0</v>
      </c>
      <c r="BT174" s="33"/>
      <c r="BU174" s="33">
        <f t="shared" si="40"/>
        <v>18</v>
      </c>
      <c r="BV174" s="36">
        <f t="shared" si="38"/>
        <v>0</v>
      </c>
      <c r="BW174" s="36">
        <f t="shared" si="44"/>
        <v>0</v>
      </c>
      <c r="BX174" s="33"/>
    </row>
    <row r="175" spans="66:76" ht="15.75">
      <c r="BN175" s="7">
        <f t="shared" si="41"/>
        <v>13</v>
      </c>
      <c r="BO175" s="5">
        <f t="shared" si="34"/>
        <v>2.16</v>
      </c>
      <c r="BP175" s="13">
        <f t="shared" si="35"/>
        <v>-0.11699999999999999</v>
      </c>
      <c r="BQ175" s="13">
        <f t="shared" si="43"/>
        <v>-0.612</v>
      </c>
      <c r="BR175" s="5">
        <f t="shared" si="42"/>
        <v>0</v>
      </c>
      <c r="BS175" s="5">
        <f t="shared" si="39"/>
        <v>0</v>
      </c>
      <c r="BT175" s="33"/>
      <c r="BU175" s="33">
        <f t="shared" si="40"/>
        <v>18</v>
      </c>
      <c r="BV175" s="36">
        <f t="shared" si="38"/>
        <v>0</v>
      </c>
      <c r="BW175" s="36">
        <f t="shared" si="44"/>
        <v>0</v>
      </c>
      <c r="BX175" s="33"/>
    </row>
    <row r="176" spans="66:76" ht="15.75">
      <c r="BN176" s="7">
        <f t="shared" si="41"/>
        <v>13</v>
      </c>
      <c r="BO176" s="5">
        <f t="shared" si="34"/>
        <v>2.16</v>
      </c>
      <c r="BP176" s="13">
        <f t="shared" si="35"/>
        <v>-0.11699999999999999</v>
      </c>
      <c r="BQ176" s="13">
        <f t="shared" si="43"/>
        <v>-0.612</v>
      </c>
      <c r="BR176" s="5">
        <f t="shared" si="42"/>
        <v>0</v>
      </c>
      <c r="BS176" s="5">
        <f t="shared" si="39"/>
        <v>0</v>
      </c>
      <c r="BT176" s="33"/>
      <c r="BU176" s="33">
        <f t="shared" si="40"/>
        <v>18</v>
      </c>
      <c r="BV176" s="36">
        <f t="shared" si="38"/>
        <v>0</v>
      </c>
      <c r="BW176" s="36">
        <f t="shared" si="44"/>
        <v>0</v>
      </c>
      <c r="BX176" s="33"/>
    </row>
    <row r="177" spans="66:76" ht="15.75">
      <c r="BN177" s="7">
        <f t="shared" si="41"/>
        <v>13</v>
      </c>
      <c r="BO177" s="5">
        <f t="shared" si="34"/>
        <v>2.16</v>
      </c>
      <c r="BP177" s="13">
        <f t="shared" si="35"/>
        <v>-0.11699999999999999</v>
      </c>
      <c r="BQ177" s="13">
        <f t="shared" si="43"/>
        <v>-0.612</v>
      </c>
      <c r="BR177" s="5">
        <f t="shared" si="42"/>
        <v>0</v>
      </c>
      <c r="BS177" s="5">
        <f t="shared" si="39"/>
        <v>0</v>
      </c>
      <c r="BT177" s="33"/>
      <c r="BU177" s="33">
        <f t="shared" si="40"/>
        <v>19</v>
      </c>
      <c r="BV177" s="36">
        <f t="shared" si="38"/>
        <v>0</v>
      </c>
      <c r="BW177" s="36">
        <f t="shared" si="44"/>
        <v>0</v>
      </c>
      <c r="BX177" s="33"/>
    </row>
    <row r="178" spans="66:76" ht="15.75">
      <c r="BN178" s="7">
        <f t="shared" si="41"/>
        <v>14</v>
      </c>
      <c r="BO178" s="5">
        <f t="shared" si="34"/>
        <v>1.98</v>
      </c>
      <c r="BP178" s="13">
        <f t="shared" si="35"/>
        <v>-0.126</v>
      </c>
      <c r="BQ178" s="13">
        <f t="shared" si="43"/>
        <v>-0.5985</v>
      </c>
      <c r="BR178" s="5">
        <f t="shared" si="42"/>
        <v>0</v>
      </c>
      <c r="BS178" s="5">
        <f t="shared" si="39"/>
        <v>0</v>
      </c>
      <c r="BT178" s="33"/>
      <c r="BU178" s="33">
        <f t="shared" si="40"/>
        <v>19</v>
      </c>
      <c r="BV178" s="36">
        <f t="shared" si="38"/>
        <v>0</v>
      </c>
      <c r="BW178" s="36">
        <f t="shared" si="44"/>
        <v>0</v>
      </c>
      <c r="BX178" s="33"/>
    </row>
    <row r="179" spans="66:76" ht="15.75">
      <c r="BN179" s="7">
        <f t="shared" si="41"/>
        <v>14</v>
      </c>
      <c r="BO179" s="5">
        <f t="shared" si="34"/>
        <v>1.98</v>
      </c>
      <c r="BP179" s="13">
        <f t="shared" si="35"/>
        <v>-0.126</v>
      </c>
      <c r="BQ179" s="13">
        <f t="shared" si="43"/>
        <v>-0.5985</v>
      </c>
      <c r="BR179" s="5">
        <f t="shared" si="42"/>
        <v>0</v>
      </c>
      <c r="BS179" s="5">
        <f t="shared" si="39"/>
        <v>0</v>
      </c>
      <c r="BT179" s="33"/>
      <c r="BU179" s="33">
        <f t="shared" si="40"/>
        <v>19</v>
      </c>
      <c r="BV179" s="36">
        <f t="shared" si="38"/>
        <v>0</v>
      </c>
      <c r="BW179" s="36">
        <f t="shared" si="44"/>
        <v>0</v>
      </c>
      <c r="BX179" s="33"/>
    </row>
    <row r="180" spans="66:76" ht="15.75">
      <c r="BN180" s="7">
        <f t="shared" si="41"/>
        <v>14</v>
      </c>
      <c r="BO180" s="5">
        <f t="shared" si="34"/>
        <v>1.98</v>
      </c>
      <c r="BP180" s="13">
        <f t="shared" si="35"/>
        <v>-0.126</v>
      </c>
      <c r="BQ180" s="13">
        <f t="shared" si="43"/>
        <v>-0.5985</v>
      </c>
      <c r="BR180" s="5">
        <f t="shared" si="42"/>
        <v>0</v>
      </c>
      <c r="BS180" s="5">
        <f t="shared" si="39"/>
        <v>0</v>
      </c>
      <c r="BT180" s="33"/>
      <c r="BU180" s="33">
        <f t="shared" si="40"/>
        <v>20</v>
      </c>
      <c r="BV180" s="36">
        <f t="shared" si="38"/>
        <v>0</v>
      </c>
      <c r="BW180" s="36">
        <f t="shared" si="44"/>
        <v>0</v>
      </c>
      <c r="BX180" s="33"/>
    </row>
    <row r="181" spans="66:76" ht="15.75">
      <c r="BN181" s="7">
        <f t="shared" si="41"/>
        <v>14</v>
      </c>
      <c r="BO181" s="5">
        <f t="shared" si="34"/>
        <v>1.98</v>
      </c>
      <c r="BP181" s="13">
        <f t="shared" si="35"/>
        <v>-0.126</v>
      </c>
      <c r="BQ181" s="13">
        <f t="shared" si="43"/>
        <v>-0.5985</v>
      </c>
      <c r="BR181" s="5">
        <f t="shared" si="42"/>
        <v>0</v>
      </c>
      <c r="BS181" s="5">
        <f t="shared" si="39"/>
        <v>0</v>
      </c>
      <c r="BT181" s="33"/>
      <c r="BU181" s="33">
        <f t="shared" si="40"/>
        <v>20</v>
      </c>
      <c r="BV181" s="36">
        <f t="shared" si="38"/>
        <v>0</v>
      </c>
      <c r="BW181" s="36">
        <f t="shared" si="44"/>
        <v>0</v>
      </c>
      <c r="BX181" s="33"/>
    </row>
    <row r="182" spans="66:76" ht="15.75">
      <c r="BN182" s="7">
        <f t="shared" si="41"/>
        <v>15</v>
      </c>
      <c r="BO182" s="5">
        <f t="shared" si="34"/>
        <v>1.8000000000000003</v>
      </c>
      <c r="BP182" s="13">
        <f t="shared" si="35"/>
        <v>-0.13499999999999998</v>
      </c>
      <c r="BQ182" s="13">
        <f t="shared" si="43"/>
        <v>-0.5850000000000001</v>
      </c>
      <c r="BR182" s="5">
        <f t="shared" si="42"/>
        <v>0</v>
      </c>
      <c r="BS182" s="5">
        <f t="shared" si="39"/>
        <v>0</v>
      </c>
      <c r="BT182" s="33"/>
      <c r="BU182" s="33">
        <f t="shared" si="40"/>
        <v>20</v>
      </c>
      <c r="BV182" s="36">
        <f t="shared" si="38"/>
        <v>0</v>
      </c>
      <c r="BW182" s="36">
        <f t="shared" si="44"/>
        <v>0</v>
      </c>
      <c r="BX182" s="33"/>
    </row>
    <row r="183" spans="66:76" ht="15.75">
      <c r="BN183" s="7">
        <f t="shared" si="41"/>
        <v>15</v>
      </c>
      <c r="BO183" s="5">
        <f t="shared" si="34"/>
        <v>1.8000000000000003</v>
      </c>
      <c r="BP183" s="13">
        <f t="shared" si="35"/>
        <v>-0.13499999999999998</v>
      </c>
      <c r="BQ183" s="13">
        <f t="shared" si="43"/>
        <v>-0.5850000000000001</v>
      </c>
      <c r="BR183" s="5">
        <f t="shared" si="42"/>
        <v>0</v>
      </c>
      <c r="BS183" s="5">
        <f t="shared" si="39"/>
        <v>0</v>
      </c>
      <c r="BT183" s="33"/>
      <c r="BU183" s="33">
        <f t="shared" si="40"/>
        <v>21</v>
      </c>
      <c r="BV183" s="36">
        <f t="shared" si="38"/>
        <v>0</v>
      </c>
      <c r="BW183" s="36">
        <f t="shared" si="44"/>
        <v>0</v>
      </c>
      <c r="BX183" s="33"/>
    </row>
    <row r="184" spans="66:76" ht="15.75">
      <c r="BN184" s="7">
        <f t="shared" si="41"/>
        <v>15</v>
      </c>
      <c r="BO184" s="5">
        <f t="shared" si="34"/>
        <v>1.8000000000000003</v>
      </c>
      <c r="BP184" s="13">
        <f t="shared" si="35"/>
        <v>-0.13499999999999998</v>
      </c>
      <c r="BQ184" s="13">
        <f t="shared" si="43"/>
        <v>-0.5850000000000001</v>
      </c>
      <c r="BR184" s="5">
        <f t="shared" si="42"/>
        <v>0</v>
      </c>
      <c r="BS184" s="5">
        <f t="shared" si="39"/>
        <v>0</v>
      </c>
      <c r="BT184" s="33"/>
      <c r="BU184" s="33">
        <f t="shared" si="40"/>
        <v>21</v>
      </c>
      <c r="BV184" s="36">
        <f t="shared" si="38"/>
        <v>0</v>
      </c>
      <c r="BW184" s="36">
        <f aca="true" t="shared" si="45" ref="BW184:BW215">IF($P$4=0,0,IF(BV184&lt;0,$C$6,IF(BV184&gt;0,-$BN$7,-$C$2/2+$BP$118*BU184)))</f>
        <v>0</v>
      </c>
      <c r="BX184" s="33"/>
    </row>
    <row r="185" spans="66:76" ht="15.75">
      <c r="BN185" s="7">
        <f t="shared" si="41"/>
        <v>15</v>
      </c>
      <c r="BO185" s="5">
        <f t="shared" si="34"/>
        <v>1.8000000000000003</v>
      </c>
      <c r="BP185" s="13">
        <f t="shared" si="35"/>
        <v>-0.13499999999999998</v>
      </c>
      <c r="BQ185" s="13">
        <f t="shared" si="43"/>
        <v>-0.5850000000000001</v>
      </c>
      <c r="BR185" s="5">
        <f t="shared" si="42"/>
        <v>0</v>
      </c>
      <c r="BS185" s="5">
        <f t="shared" si="39"/>
        <v>0</v>
      </c>
      <c r="BT185" s="33"/>
      <c r="BU185" s="33">
        <f t="shared" si="40"/>
        <v>21</v>
      </c>
      <c r="BV185" s="36">
        <f t="shared" si="38"/>
        <v>0</v>
      </c>
      <c r="BW185" s="36">
        <f t="shared" si="45"/>
        <v>0</v>
      </c>
      <c r="BX185" s="33"/>
    </row>
    <row r="186" spans="66:76" ht="15.75">
      <c r="BN186" s="7">
        <f t="shared" si="41"/>
        <v>16</v>
      </c>
      <c r="BO186" s="5">
        <f t="shared" si="34"/>
        <v>1.62</v>
      </c>
      <c r="BP186" s="13">
        <f t="shared" si="35"/>
        <v>-0.144</v>
      </c>
      <c r="BQ186" s="13">
        <f t="shared" si="43"/>
        <v>-0.5715</v>
      </c>
      <c r="BR186" s="5">
        <f t="shared" si="42"/>
        <v>0</v>
      </c>
      <c r="BS186" s="5">
        <f t="shared" si="39"/>
        <v>0</v>
      </c>
      <c r="BT186" s="33"/>
      <c r="BU186" s="33">
        <f t="shared" si="40"/>
        <v>22</v>
      </c>
      <c r="BV186" s="36">
        <f t="shared" si="38"/>
        <v>0</v>
      </c>
      <c r="BW186" s="36">
        <f t="shared" si="45"/>
        <v>0</v>
      </c>
      <c r="BX186" s="33"/>
    </row>
    <row r="187" spans="66:76" ht="15.75">
      <c r="BN187" s="7">
        <f t="shared" si="41"/>
        <v>16</v>
      </c>
      <c r="BO187" s="5">
        <f aca="true" t="shared" si="46" ref="BO187:BO250">$C$2/2-$BP$118*BN187</f>
        <v>1.62</v>
      </c>
      <c r="BP187" s="13">
        <f aca="true" t="shared" si="47" ref="BP187:BP250">(BO187-$C$2/2)/$C$4</f>
        <v>-0.144</v>
      </c>
      <c r="BQ187" s="13">
        <f aca="true" t="shared" si="48" ref="BQ187:BQ250">IF($C$3=$C$4,$BW$43,(-$BN$7-BO187)/$BN$4)</f>
        <v>-0.5715</v>
      </c>
      <c r="BR187" s="5">
        <f t="shared" si="42"/>
        <v>0</v>
      </c>
      <c r="BS187" s="5">
        <f t="shared" si="39"/>
        <v>0</v>
      </c>
      <c r="BT187" s="33"/>
      <c r="BU187" s="33">
        <f t="shared" si="40"/>
        <v>22</v>
      </c>
      <c r="BV187" s="36">
        <f t="shared" si="38"/>
        <v>0</v>
      </c>
      <c r="BW187" s="36">
        <f t="shared" si="45"/>
        <v>0</v>
      </c>
      <c r="BX187" s="33"/>
    </row>
    <row r="188" spans="66:76" ht="15.75">
      <c r="BN188" s="7">
        <f t="shared" si="41"/>
        <v>16</v>
      </c>
      <c r="BO188" s="5">
        <f t="shared" si="46"/>
        <v>1.62</v>
      </c>
      <c r="BP188" s="13">
        <f t="shared" si="47"/>
        <v>-0.144</v>
      </c>
      <c r="BQ188" s="13">
        <f t="shared" si="48"/>
        <v>-0.5715</v>
      </c>
      <c r="BR188" s="5">
        <f t="shared" si="42"/>
        <v>0</v>
      </c>
      <c r="BS188" s="5">
        <f t="shared" si="39"/>
        <v>0</v>
      </c>
      <c r="BT188" s="33"/>
      <c r="BU188" s="33">
        <f t="shared" si="40"/>
        <v>22</v>
      </c>
      <c r="BV188" s="36">
        <f aca="true" t="shared" si="49" ref="BV188:BV251">BV185</f>
        <v>0</v>
      </c>
      <c r="BW188" s="36">
        <f t="shared" si="45"/>
        <v>0</v>
      </c>
      <c r="BX188" s="33"/>
    </row>
    <row r="189" spans="66:76" ht="15.75">
      <c r="BN189" s="7">
        <f t="shared" si="41"/>
        <v>16</v>
      </c>
      <c r="BO189" s="5">
        <f t="shared" si="46"/>
        <v>1.62</v>
      </c>
      <c r="BP189" s="13">
        <f t="shared" si="47"/>
        <v>-0.144</v>
      </c>
      <c r="BQ189" s="13">
        <f t="shared" si="48"/>
        <v>-0.5715</v>
      </c>
      <c r="BR189" s="5">
        <f t="shared" si="42"/>
        <v>0</v>
      </c>
      <c r="BS189" s="5">
        <f aca="true" t="shared" si="50" ref="BS189:BS252">IF($P$4=0,0,IF(BR189&lt;0,$C$6,IF(BR189=0,BO189,BQ189*BR189+BO189)))</f>
        <v>0</v>
      </c>
      <c r="BT189" s="33"/>
      <c r="BU189" s="33">
        <f aca="true" t="shared" si="51" ref="BU189:BU252">IF(BV189=0,BU186+1,0)</f>
        <v>23</v>
      </c>
      <c r="BV189" s="36">
        <f t="shared" si="49"/>
        <v>0</v>
      </c>
      <c r="BW189" s="36">
        <f t="shared" si="45"/>
        <v>0</v>
      </c>
      <c r="BX189" s="33"/>
    </row>
    <row r="190" spans="66:76" ht="15.75">
      <c r="BN190" s="7">
        <f t="shared" si="41"/>
        <v>17</v>
      </c>
      <c r="BO190" s="5">
        <f t="shared" si="46"/>
        <v>1.44</v>
      </c>
      <c r="BP190" s="13">
        <f t="shared" si="47"/>
        <v>-0.153</v>
      </c>
      <c r="BQ190" s="13">
        <f t="shared" si="48"/>
        <v>-0.558</v>
      </c>
      <c r="BR190" s="5">
        <f t="shared" si="42"/>
        <v>0</v>
      </c>
      <c r="BS190" s="5">
        <f t="shared" si="50"/>
        <v>0</v>
      </c>
      <c r="BT190" s="33"/>
      <c r="BU190" s="33">
        <f t="shared" si="51"/>
        <v>23</v>
      </c>
      <c r="BV190" s="36">
        <f t="shared" si="49"/>
        <v>0</v>
      </c>
      <c r="BW190" s="36">
        <f t="shared" si="45"/>
        <v>0</v>
      </c>
      <c r="BX190" s="33"/>
    </row>
    <row r="191" spans="66:76" ht="15.75">
      <c r="BN191" s="7">
        <f aca="true" t="shared" si="52" ref="BN191:BN254">BN187+1</f>
        <v>17</v>
      </c>
      <c r="BO191" s="5">
        <f t="shared" si="46"/>
        <v>1.44</v>
      </c>
      <c r="BP191" s="13">
        <f t="shared" si="47"/>
        <v>-0.153</v>
      </c>
      <c r="BQ191" s="13">
        <f t="shared" si="48"/>
        <v>-0.558</v>
      </c>
      <c r="BR191" s="5">
        <f aca="true" t="shared" si="53" ref="BR191:BR254">BR187</f>
        <v>0</v>
      </c>
      <c r="BS191" s="5">
        <f t="shared" si="50"/>
        <v>0</v>
      </c>
      <c r="BT191" s="33"/>
      <c r="BU191" s="33">
        <f t="shared" si="51"/>
        <v>23</v>
      </c>
      <c r="BV191" s="36">
        <f t="shared" si="49"/>
        <v>0</v>
      </c>
      <c r="BW191" s="36">
        <f t="shared" si="45"/>
        <v>0</v>
      </c>
      <c r="BX191" s="33"/>
    </row>
    <row r="192" spans="66:76" ht="15.75">
      <c r="BN192" s="7">
        <f t="shared" si="52"/>
        <v>17</v>
      </c>
      <c r="BO192" s="5">
        <f t="shared" si="46"/>
        <v>1.44</v>
      </c>
      <c r="BP192" s="13">
        <f t="shared" si="47"/>
        <v>-0.153</v>
      </c>
      <c r="BQ192" s="13">
        <f t="shared" si="48"/>
        <v>-0.558</v>
      </c>
      <c r="BR192" s="5">
        <f t="shared" si="53"/>
        <v>0</v>
      </c>
      <c r="BS192" s="5">
        <f t="shared" si="50"/>
        <v>0</v>
      </c>
      <c r="BT192" s="33"/>
      <c r="BU192" s="33">
        <f t="shared" si="51"/>
        <v>24</v>
      </c>
      <c r="BV192" s="36">
        <f t="shared" si="49"/>
        <v>0</v>
      </c>
      <c r="BW192" s="36">
        <f t="shared" si="45"/>
        <v>0</v>
      </c>
      <c r="BX192" s="33"/>
    </row>
    <row r="193" spans="66:76" ht="15.75">
      <c r="BN193" s="7">
        <f t="shared" si="52"/>
        <v>17</v>
      </c>
      <c r="BO193" s="5">
        <f t="shared" si="46"/>
        <v>1.44</v>
      </c>
      <c r="BP193" s="13">
        <f t="shared" si="47"/>
        <v>-0.153</v>
      </c>
      <c r="BQ193" s="13">
        <f t="shared" si="48"/>
        <v>-0.558</v>
      </c>
      <c r="BR193" s="5">
        <f t="shared" si="53"/>
        <v>0</v>
      </c>
      <c r="BS193" s="5">
        <f t="shared" si="50"/>
        <v>0</v>
      </c>
      <c r="BT193" s="33"/>
      <c r="BU193" s="33">
        <f t="shared" si="51"/>
        <v>24</v>
      </c>
      <c r="BV193" s="36">
        <f t="shared" si="49"/>
        <v>0</v>
      </c>
      <c r="BW193" s="36">
        <f t="shared" si="45"/>
        <v>0</v>
      </c>
      <c r="BX193" s="33"/>
    </row>
    <row r="194" spans="66:76" ht="15.75">
      <c r="BN194" s="7">
        <f t="shared" si="52"/>
        <v>18</v>
      </c>
      <c r="BO194" s="5">
        <f t="shared" si="46"/>
        <v>1.2600000000000002</v>
      </c>
      <c r="BP194" s="13">
        <f t="shared" si="47"/>
        <v>-0.16199999999999998</v>
      </c>
      <c r="BQ194" s="13">
        <f t="shared" si="48"/>
        <v>-0.5445000000000001</v>
      </c>
      <c r="BR194" s="5">
        <f t="shared" si="53"/>
        <v>0</v>
      </c>
      <c r="BS194" s="5">
        <f t="shared" si="50"/>
        <v>0</v>
      </c>
      <c r="BT194" s="33"/>
      <c r="BU194" s="33">
        <f t="shared" si="51"/>
        <v>24</v>
      </c>
      <c r="BV194" s="36">
        <f t="shared" si="49"/>
        <v>0</v>
      </c>
      <c r="BW194" s="36">
        <f t="shared" si="45"/>
        <v>0</v>
      </c>
      <c r="BX194" s="33"/>
    </row>
    <row r="195" spans="66:76" ht="15.75">
      <c r="BN195" s="7">
        <f t="shared" si="52"/>
        <v>18</v>
      </c>
      <c r="BO195" s="5">
        <f t="shared" si="46"/>
        <v>1.2600000000000002</v>
      </c>
      <c r="BP195" s="13">
        <f t="shared" si="47"/>
        <v>-0.16199999999999998</v>
      </c>
      <c r="BQ195" s="13">
        <f t="shared" si="48"/>
        <v>-0.5445000000000001</v>
      </c>
      <c r="BR195" s="5">
        <f t="shared" si="53"/>
        <v>0</v>
      </c>
      <c r="BS195" s="5">
        <f t="shared" si="50"/>
        <v>0</v>
      </c>
      <c r="BT195" s="33"/>
      <c r="BU195" s="33">
        <f t="shared" si="51"/>
        <v>25</v>
      </c>
      <c r="BV195" s="36">
        <f t="shared" si="49"/>
        <v>0</v>
      </c>
      <c r="BW195" s="36">
        <f t="shared" si="45"/>
        <v>0</v>
      </c>
      <c r="BX195" s="33"/>
    </row>
    <row r="196" spans="66:76" ht="15.75">
      <c r="BN196" s="7">
        <f t="shared" si="52"/>
        <v>18</v>
      </c>
      <c r="BO196" s="5">
        <f t="shared" si="46"/>
        <v>1.2600000000000002</v>
      </c>
      <c r="BP196" s="13">
        <f t="shared" si="47"/>
        <v>-0.16199999999999998</v>
      </c>
      <c r="BQ196" s="13">
        <f t="shared" si="48"/>
        <v>-0.5445000000000001</v>
      </c>
      <c r="BR196" s="5">
        <f t="shared" si="53"/>
        <v>0</v>
      </c>
      <c r="BS196" s="5">
        <f t="shared" si="50"/>
        <v>0</v>
      </c>
      <c r="BT196" s="33"/>
      <c r="BU196" s="33">
        <f t="shared" si="51"/>
        <v>25</v>
      </c>
      <c r="BV196" s="36">
        <f t="shared" si="49"/>
        <v>0</v>
      </c>
      <c r="BW196" s="36">
        <f t="shared" si="45"/>
        <v>0</v>
      </c>
      <c r="BX196" s="33"/>
    </row>
    <row r="197" spans="66:76" ht="15.75">
      <c r="BN197" s="7">
        <f t="shared" si="52"/>
        <v>18</v>
      </c>
      <c r="BO197" s="5">
        <f t="shared" si="46"/>
        <v>1.2600000000000002</v>
      </c>
      <c r="BP197" s="13">
        <f t="shared" si="47"/>
        <v>-0.16199999999999998</v>
      </c>
      <c r="BQ197" s="13">
        <f t="shared" si="48"/>
        <v>-0.5445000000000001</v>
      </c>
      <c r="BR197" s="5">
        <f t="shared" si="53"/>
        <v>0</v>
      </c>
      <c r="BS197" s="5">
        <f t="shared" si="50"/>
        <v>0</v>
      </c>
      <c r="BT197" s="33"/>
      <c r="BU197" s="33">
        <f t="shared" si="51"/>
        <v>25</v>
      </c>
      <c r="BV197" s="36">
        <f t="shared" si="49"/>
        <v>0</v>
      </c>
      <c r="BW197" s="36">
        <f t="shared" si="45"/>
        <v>0</v>
      </c>
      <c r="BX197" s="33"/>
    </row>
    <row r="198" spans="66:76" ht="15.75">
      <c r="BN198" s="7">
        <f t="shared" si="52"/>
        <v>19</v>
      </c>
      <c r="BO198" s="5">
        <f t="shared" si="46"/>
        <v>1.08</v>
      </c>
      <c r="BP198" s="13">
        <f t="shared" si="47"/>
        <v>-0.17099999999999999</v>
      </c>
      <c r="BQ198" s="13">
        <f t="shared" si="48"/>
        <v>-0.531</v>
      </c>
      <c r="BR198" s="5">
        <f t="shared" si="53"/>
        <v>0</v>
      </c>
      <c r="BS198" s="5">
        <f t="shared" si="50"/>
        <v>0</v>
      </c>
      <c r="BT198" s="33"/>
      <c r="BU198" s="33">
        <f t="shared" si="51"/>
        <v>26</v>
      </c>
      <c r="BV198" s="36">
        <f t="shared" si="49"/>
        <v>0</v>
      </c>
      <c r="BW198" s="36">
        <f t="shared" si="45"/>
        <v>0</v>
      </c>
      <c r="BX198" s="33"/>
    </row>
    <row r="199" spans="66:76" ht="15.75">
      <c r="BN199" s="7">
        <f t="shared" si="52"/>
        <v>19</v>
      </c>
      <c r="BO199" s="5">
        <f t="shared" si="46"/>
        <v>1.08</v>
      </c>
      <c r="BP199" s="13">
        <f t="shared" si="47"/>
        <v>-0.17099999999999999</v>
      </c>
      <c r="BQ199" s="13">
        <f t="shared" si="48"/>
        <v>-0.531</v>
      </c>
      <c r="BR199" s="5">
        <f t="shared" si="53"/>
        <v>0</v>
      </c>
      <c r="BS199" s="5">
        <f t="shared" si="50"/>
        <v>0</v>
      </c>
      <c r="BT199" s="33"/>
      <c r="BU199" s="33">
        <f t="shared" si="51"/>
        <v>26</v>
      </c>
      <c r="BV199" s="36">
        <f t="shared" si="49"/>
        <v>0</v>
      </c>
      <c r="BW199" s="36">
        <f t="shared" si="45"/>
        <v>0</v>
      </c>
      <c r="BX199" s="33"/>
    </row>
    <row r="200" spans="66:76" ht="15.75">
      <c r="BN200" s="7">
        <f t="shared" si="52"/>
        <v>19</v>
      </c>
      <c r="BO200" s="5">
        <f t="shared" si="46"/>
        <v>1.08</v>
      </c>
      <c r="BP200" s="13">
        <f t="shared" si="47"/>
        <v>-0.17099999999999999</v>
      </c>
      <c r="BQ200" s="13">
        <f t="shared" si="48"/>
        <v>-0.531</v>
      </c>
      <c r="BR200" s="5">
        <f t="shared" si="53"/>
        <v>0</v>
      </c>
      <c r="BS200" s="5">
        <f t="shared" si="50"/>
        <v>0</v>
      </c>
      <c r="BT200" s="33"/>
      <c r="BU200" s="33">
        <f t="shared" si="51"/>
        <v>26</v>
      </c>
      <c r="BV200" s="36">
        <f t="shared" si="49"/>
        <v>0</v>
      </c>
      <c r="BW200" s="36">
        <f t="shared" si="45"/>
        <v>0</v>
      </c>
      <c r="BX200" s="33"/>
    </row>
    <row r="201" spans="66:76" ht="15.75">
      <c r="BN201" s="7">
        <f t="shared" si="52"/>
        <v>19</v>
      </c>
      <c r="BO201" s="5">
        <f t="shared" si="46"/>
        <v>1.08</v>
      </c>
      <c r="BP201" s="13">
        <f t="shared" si="47"/>
        <v>-0.17099999999999999</v>
      </c>
      <c r="BQ201" s="13">
        <f t="shared" si="48"/>
        <v>-0.531</v>
      </c>
      <c r="BR201" s="5">
        <f t="shared" si="53"/>
        <v>0</v>
      </c>
      <c r="BS201" s="5">
        <f t="shared" si="50"/>
        <v>0</v>
      </c>
      <c r="BT201" s="33"/>
      <c r="BU201" s="33">
        <f t="shared" si="51"/>
        <v>27</v>
      </c>
      <c r="BV201" s="36">
        <f t="shared" si="49"/>
        <v>0</v>
      </c>
      <c r="BW201" s="36">
        <f t="shared" si="45"/>
        <v>0</v>
      </c>
      <c r="BX201" s="33"/>
    </row>
    <row r="202" spans="66:76" ht="15.75">
      <c r="BN202" s="7">
        <f t="shared" si="52"/>
        <v>20</v>
      </c>
      <c r="BO202" s="5">
        <f t="shared" si="46"/>
        <v>0.9000000000000004</v>
      </c>
      <c r="BP202" s="13">
        <f t="shared" si="47"/>
        <v>-0.18</v>
      </c>
      <c r="BQ202" s="13">
        <f t="shared" si="48"/>
        <v>-0.5175000000000001</v>
      </c>
      <c r="BR202" s="5">
        <f t="shared" si="53"/>
        <v>0</v>
      </c>
      <c r="BS202" s="5">
        <f t="shared" si="50"/>
        <v>0</v>
      </c>
      <c r="BT202" s="33"/>
      <c r="BU202" s="33">
        <f t="shared" si="51"/>
        <v>27</v>
      </c>
      <c r="BV202" s="36">
        <f t="shared" si="49"/>
        <v>0</v>
      </c>
      <c r="BW202" s="36">
        <f t="shared" si="45"/>
        <v>0</v>
      </c>
      <c r="BX202" s="33"/>
    </row>
    <row r="203" spans="66:76" ht="15.75">
      <c r="BN203" s="7">
        <f t="shared" si="52"/>
        <v>20</v>
      </c>
      <c r="BO203" s="5">
        <f t="shared" si="46"/>
        <v>0.9000000000000004</v>
      </c>
      <c r="BP203" s="13">
        <f t="shared" si="47"/>
        <v>-0.18</v>
      </c>
      <c r="BQ203" s="13">
        <f t="shared" si="48"/>
        <v>-0.5175000000000001</v>
      </c>
      <c r="BR203" s="5">
        <f t="shared" si="53"/>
        <v>0</v>
      </c>
      <c r="BS203" s="5">
        <f t="shared" si="50"/>
        <v>0</v>
      </c>
      <c r="BT203" s="33"/>
      <c r="BU203" s="33">
        <f t="shared" si="51"/>
        <v>27</v>
      </c>
      <c r="BV203" s="36">
        <f t="shared" si="49"/>
        <v>0</v>
      </c>
      <c r="BW203" s="36">
        <f t="shared" si="45"/>
        <v>0</v>
      </c>
      <c r="BX203" s="33"/>
    </row>
    <row r="204" spans="66:76" ht="15.75">
      <c r="BN204" s="7">
        <f t="shared" si="52"/>
        <v>20</v>
      </c>
      <c r="BO204" s="5">
        <f t="shared" si="46"/>
        <v>0.9000000000000004</v>
      </c>
      <c r="BP204" s="13">
        <f t="shared" si="47"/>
        <v>-0.18</v>
      </c>
      <c r="BQ204" s="13">
        <f t="shared" si="48"/>
        <v>-0.5175000000000001</v>
      </c>
      <c r="BR204" s="5">
        <f t="shared" si="53"/>
        <v>0</v>
      </c>
      <c r="BS204" s="5">
        <f t="shared" si="50"/>
        <v>0</v>
      </c>
      <c r="BT204" s="33"/>
      <c r="BU204" s="33">
        <f t="shared" si="51"/>
        <v>28</v>
      </c>
      <c r="BV204" s="36">
        <f t="shared" si="49"/>
        <v>0</v>
      </c>
      <c r="BW204" s="36">
        <f t="shared" si="45"/>
        <v>0</v>
      </c>
      <c r="BX204" s="33"/>
    </row>
    <row r="205" spans="66:76" ht="15.75">
      <c r="BN205" s="7">
        <f t="shared" si="52"/>
        <v>20</v>
      </c>
      <c r="BO205" s="5">
        <f t="shared" si="46"/>
        <v>0.9000000000000004</v>
      </c>
      <c r="BP205" s="13">
        <f t="shared" si="47"/>
        <v>-0.18</v>
      </c>
      <c r="BQ205" s="13">
        <f t="shared" si="48"/>
        <v>-0.5175000000000001</v>
      </c>
      <c r="BR205" s="5">
        <f t="shared" si="53"/>
        <v>0</v>
      </c>
      <c r="BS205" s="5">
        <f t="shared" si="50"/>
        <v>0</v>
      </c>
      <c r="BT205" s="33"/>
      <c r="BU205" s="33">
        <f t="shared" si="51"/>
        <v>28</v>
      </c>
      <c r="BV205" s="36">
        <f t="shared" si="49"/>
        <v>0</v>
      </c>
      <c r="BW205" s="36">
        <f t="shared" si="45"/>
        <v>0</v>
      </c>
      <c r="BX205" s="33"/>
    </row>
    <row r="206" spans="66:76" ht="15.75">
      <c r="BN206" s="7">
        <f t="shared" si="52"/>
        <v>21</v>
      </c>
      <c r="BO206" s="5">
        <f t="shared" si="46"/>
        <v>0.7200000000000002</v>
      </c>
      <c r="BP206" s="13">
        <f t="shared" si="47"/>
        <v>-0.189</v>
      </c>
      <c r="BQ206" s="13">
        <f t="shared" si="48"/>
        <v>-0.504</v>
      </c>
      <c r="BR206" s="5">
        <f t="shared" si="53"/>
        <v>0</v>
      </c>
      <c r="BS206" s="5">
        <f t="shared" si="50"/>
        <v>0</v>
      </c>
      <c r="BT206" s="33"/>
      <c r="BU206" s="33">
        <f t="shared" si="51"/>
        <v>28</v>
      </c>
      <c r="BV206" s="36">
        <f t="shared" si="49"/>
        <v>0</v>
      </c>
      <c r="BW206" s="36">
        <f t="shared" si="45"/>
        <v>0</v>
      </c>
      <c r="BX206" s="33"/>
    </row>
    <row r="207" spans="66:76" ht="15.75">
      <c r="BN207" s="7">
        <f t="shared" si="52"/>
        <v>21</v>
      </c>
      <c r="BO207" s="5">
        <f t="shared" si="46"/>
        <v>0.7200000000000002</v>
      </c>
      <c r="BP207" s="13">
        <f t="shared" si="47"/>
        <v>-0.189</v>
      </c>
      <c r="BQ207" s="13">
        <f t="shared" si="48"/>
        <v>-0.504</v>
      </c>
      <c r="BR207" s="5">
        <f t="shared" si="53"/>
        <v>0</v>
      </c>
      <c r="BS207" s="5">
        <f t="shared" si="50"/>
        <v>0</v>
      </c>
      <c r="BT207" s="33"/>
      <c r="BU207" s="33">
        <f t="shared" si="51"/>
        <v>29</v>
      </c>
      <c r="BV207" s="36">
        <f t="shared" si="49"/>
        <v>0</v>
      </c>
      <c r="BW207" s="36">
        <f t="shared" si="45"/>
        <v>0</v>
      </c>
      <c r="BX207" s="33"/>
    </row>
    <row r="208" spans="66:76" ht="15.75">
      <c r="BN208" s="7">
        <f t="shared" si="52"/>
        <v>21</v>
      </c>
      <c r="BO208" s="5">
        <f t="shared" si="46"/>
        <v>0.7200000000000002</v>
      </c>
      <c r="BP208" s="13">
        <f t="shared" si="47"/>
        <v>-0.189</v>
      </c>
      <c r="BQ208" s="13">
        <f t="shared" si="48"/>
        <v>-0.504</v>
      </c>
      <c r="BR208" s="5">
        <f t="shared" si="53"/>
        <v>0</v>
      </c>
      <c r="BS208" s="5">
        <f t="shared" si="50"/>
        <v>0</v>
      </c>
      <c r="BT208" s="33"/>
      <c r="BU208" s="33">
        <f t="shared" si="51"/>
        <v>29</v>
      </c>
      <c r="BV208" s="36">
        <f t="shared" si="49"/>
        <v>0</v>
      </c>
      <c r="BW208" s="36">
        <f t="shared" si="45"/>
        <v>0</v>
      </c>
      <c r="BX208" s="33"/>
    </row>
    <row r="209" spans="66:76" ht="15.75">
      <c r="BN209" s="7">
        <f t="shared" si="52"/>
        <v>21</v>
      </c>
      <c r="BO209" s="5">
        <f t="shared" si="46"/>
        <v>0.7200000000000002</v>
      </c>
      <c r="BP209" s="13">
        <f t="shared" si="47"/>
        <v>-0.189</v>
      </c>
      <c r="BQ209" s="13">
        <f t="shared" si="48"/>
        <v>-0.504</v>
      </c>
      <c r="BR209" s="5">
        <f t="shared" si="53"/>
        <v>0</v>
      </c>
      <c r="BS209" s="5">
        <f t="shared" si="50"/>
        <v>0</v>
      </c>
      <c r="BT209" s="33"/>
      <c r="BU209" s="33">
        <f t="shared" si="51"/>
        <v>29</v>
      </c>
      <c r="BV209" s="36">
        <f t="shared" si="49"/>
        <v>0</v>
      </c>
      <c r="BW209" s="36">
        <f t="shared" si="45"/>
        <v>0</v>
      </c>
      <c r="BX209" s="33"/>
    </row>
    <row r="210" spans="66:76" ht="15.75">
      <c r="BN210" s="7">
        <f t="shared" si="52"/>
        <v>22</v>
      </c>
      <c r="BO210" s="5">
        <f t="shared" si="46"/>
        <v>0.54</v>
      </c>
      <c r="BP210" s="13">
        <f t="shared" si="47"/>
        <v>-0.198</v>
      </c>
      <c r="BQ210" s="13">
        <f t="shared" si="48"/>
        <v>-0.49050000000000005</v>
      </c>
      <c r="BR210" s="5">
        <f t="shared" si="53"/>
        <v>0</v>
      </c>
      <c r="BS210" s="5">
        <f t="shared" si="50"/>
        <v>0</v>
      </c>
      <c r="BT210" s="33"/>
      <c r="BU210" s="33">
        <f t="shared" si="51"/>
        <v>30</v>
      </c>
      <c r="BV210" s="36">
        <f t="shared" si="49"/>
        <v>0</v>
      </c>
      <c r="BW210" s="36">
        <f t="shared" si="45"/>
        <v>0</v>
      </c>
      <c r="BX210" s="33"/>
    </row>
    <row r="211" spans="66:76" ht="15.75">
      <c r="BN211" s="7">
        <f t="shared" si="52"/>
        <v>22</v>
      </c>
      <c r="BO211" s="5">
        <f t="shared" si="46"/>
        <v>0.54</v>
      </c>
      <c r="BP211" s="13">
        <f t="shared" si="47"/>
        <v>-0.198</v>
      </c>
      <c r="BQ211" s="13">
        <f t="shared" si="48"/>
        <v>-0.49050000000000005</v>
      </c>
      <c r="BR211" s="5">
        <f t="shared" si="53"/>
        <v>0</v>
      </c>
      <c r="BS211" s="5">
        <f t="shared" si="50"/>
        <v>0</v>
      </c>
      <c r="BT211" s="33"/>
      <c r="BU211" s="33">
        <f t="shared" si="51"/>
        <v>30</v>
      </c>
      <c r="BV211" s="36">
        <f t="shared" si="49"/>
        <v>0</v>
      </c>
      <c r="BW211" s="36">
        <f t="shared" si="45"/>
        <v>0</v>
      </c>
      <c r="BX211" s="33"/>
    </row>
    <row r="212" spans="66:76" ht="15.75">
      <c r="BN212" s="7">
        <f t="shared" si="52"/>
        <v>22</v>
      </c>
      <c r="BO212" s="5">
        <f t="shared" si="46"/>
        <v>0.54</v>
      </c>
      <c r="BP212" s="13">
        <f t="shared" si="47"/>
        <v>-0.198</v>
      </c>
      <c r="BQ212" s="13">
        <f t="shared" si="48"/>
        <v>-0.49050000000000005</v>
      </c>
      <c r="BR212" s="5">
        <f t="shared" si="53"/>
        <v>0</v>
      </c>
      <c r="BS212" s="5">
        <f t="shared" si="50"/>
        <v>0</v>
      </c>
      <c r="BT212" s="33"/>
      <c r="BU212" s="33">
        <f t="shared" si="51"/>
        <v>30</v>
      </c>
      <c r="BV212" s="36">
        <f t="shared" si="49"/>
        <v>0</v>
      </c>
      <c r="BW212" s="36">
        <f t="shared" si="45"/>
        <v>0</v>
      </c>
      <c r="BX212" s="33"/>
    </row>
    <row r="213" spans="66:76" ht="15.75">
      <c r="BN213" s="7">
        <f t="shared" si="52"/>
        <v>22</v>
      </c>
      <c r="BO213" s="5">
        <f t="shared" si="46"/>
        <v>0.54</v>
      </c>
      <c r="BP213" s="13">
        <f t="shared" si="47"/>
        <v>-0.198</v>
      </c>
      <c r="BQ213" s="13">
        <f t="shared" si="48"/>
        <v>-0.49050000000000005</v>
      </c>
      <c r="BR213" s="5">
        <f t="shared" si="53"/>
        <v>0</v>
      </c>
      <c r="BS213" s="5">
        <f t="shared" si="50"/>
        <v>0</v>
      </c>
      <c r="BT213" s="33"/>
      <c r="BU213" s="33">
        <f t="shared" si="51"/>
        <v>31</v>
      </c>
      <c r="BV213" s="36">
        <f t="shared" si="49"/>
        <v>0</v>
      </c>
      <c r="BW213" s="36">
        <f t="shared" si="45"/>
        <v>0</v>
      </c>
      <c r="BX213" s="33"/>
    </row>
    <row r="214" spans="66:76" ht="15.75">
      <c r="BN214" s="7">
        <f t="shared" si="52"/>
        <v>23</v>
      </c>
      <c r="BO214" s="5">
        <f t="shared" si="46"/>
        <v>0.3600000000000003</v>
      </c>
      <c r="BP214" s="13">
        <f t="shared" si="47"/>
        <v>-0.207</v>
      </c>
      <c r="BQ214" s="13">
        <f t="shared" si="48"/>
        <v>-0.4770000000000001</v>
      </c>
      <c r="BR214" s="5">
        <f t="shared" si="53"/>
        <v>0</v>
      </c>
      <c r="BS214" s="5">
        <f t="shared" si="50"/>
        <v>0</v>
      </c>
      <c r="BT214" s="33"/>
      <c r="BU214" s="33">
        <f t="shared" si="51"/>
        <v>31</v>
      </c>
      <c r="BV214" s="36">
        <f t="shared" si="49"/>
        <v>0</v>
      </c>
      <c r="BW214" s="36">
        <f t="shared" si="45"/>
        <v>0</v>
      </c>
      <c r="BX214" s="33"/>
    </row>
    <row r="215" spans="66:76" ht="15.75">
      <c r="BN215" s="7">
        <f t="shared" si="52"/>
        <v>23</v>
      </c>
      <c r="BO215" s="5">
        <f t="shared" si="46"/>
        <v>0.3600000000000003</v>
      </c>
      <c r="BP215" s="13">
        <f t="shared" si="47"/>
        <v>-0.207</v>
      </c>
      <c r="BQ215" s="13">
        <f t="shared" si="48"/>
        <v>-0.4770000000000001</v>
      </c>
      <c r="BR215" s="5">
        <f t="shared" si="53"/>
        <v>0</v>
      </c>
      <c r="BS215" s="5">
        <f t="shared" si="50"/>
        <v>0</v>
      </c>
      <c r="BT215" s="33"/>
      <c r="BU215" s="33">
        <f t="shared" si="51"/>
        <v>31</v>
      </c>
      <c r="BV215" s="36">
        <f t="shared" si="49"/>
        <v>0</v>
      </c>
      <c r="BW215" s="36">
        <f t="shared" si="45"/>
        <v>0</v>
      </c>
      <c r="BX215" s="33"/>
    </row>
    <row r="216" spans="66:76" ht="15.75">
      <c r="BN216" s="7">
        <f t="shared" si="52"/>
        <v>23</v>
      </c>
      <c r="BO216" s="5">
        <f t="shared" si="46"/>
        <v>0.3600000000000003</v>
      </c>
      <c r="BP216" s="13">
        <f t="shared" si="47"/>
        <v>-0.207</v>
      </c>
      <c r="BQ216" s="13">
        <f t="shared" si="48"/>
        <v>-0.4770000000000001</v>
      </c>
      <c r="BR216" s="5">
        <f t="shared" si="53"/>
        <v>0</v>
      </c>
      <c r="BS216" s="5">
        <f t="shared" si="50"/>
        <v>0</v>
      </c>
      <c r="BT216" s="33"/>
      <c r="BU216" s="33">
        <f t="shared" si="51"/>
        <v>32</v>
      </c>
      <c r="BV216" s="36">
        <f t="shared" si="49"/>
        <v>0</v>
      </c>
      <c r="BW216" s="36">
        <f aca="true" t="shared" si="54" ref="BW216:BW247">IF($P$4=0,0,IF(BV216&lt;0,$C$6,IF(BV216&gt;0,-$BN$7,-$C$2/2+$BP$118*BU216)))</f>
        <v>0</v>
      </c>
      <c r="BX216" s="33"/>
    </row>
    <row r="217" spans="66:76" ht="15.75">
      <c r="BN217" s="7">
        <f t="shared" si="52"/>
        <v>23</v>
      </c>
      <c r="BO217" s="5">
        <f t="shared" si="46"/>
        <v>0.3600000000000003</v>
      </c>
      <c r="BP217" s="13">
        <f t="shared" si="47"/>
        <v>-0.207</v>
      </c>
      <c r="BQ217" s="13">
        <f t="shared" si="48"/>
        <v>-0.4770000000000001</v>
      </c>
      <c r="BR217" s="5">
        <f t="shared" si="53"/>
        <v>0</v>
      </c>
      <c r="BS217" s="5">
        <f t="shared" si="50"/>
        <v>0</v>
      </c>
      <c r="BT217" s="33"/>
      <c r="BU217" s="33">
        <f t="shared" si="51"/>
        <v>32</v>
      </c>
      <c r="BV217" s="36">
        <f t="shared" si="49"/>
        <v>0</v>
      </c>
      <c r="BW217" s="36">
        <f t="shared" si="54"/>
        <v>0</v>
      </c>
      <c r="BX217" s="33"/>
    </row>
    <row r="218" spans="66:76" ht="15.75">
      <c r="BN218" s="7">
        <f t="shared" si="52"/>
        <v>24</v>
      </c>
      <c r="BO218" s="5">
        <f t="shared" si="46"/>
        <v>0.17999999999999972</v>
      </c>
      <c r="BP218" s="13">
        <f t="shared" si="47"/>
        <v>-0.21600000000000003</v>
      </c>
      <c r="BQ218" s="13">
        <f t="shared" si="48"/>
        <v>-0.4635</v>
      </c>
      <c r="BR218" s="5">
        <f t="shared" si="53"/>
        <v>0</v>
      </c>
      <c r="BS218" s="5">
        <f t="shared" si="50"/>
        <v>0</v>
      </c>
      <c r="BT218" s="33"/>
      <c r="BU218" s="33">
        <f t="shared" si="51"/>
        <v>32</v>
      </c>
      <c r="BV218" s="36">
        <f t="shared" si="49"/>
        <v>0</v>
      </c>
      <c r="BW218" s="36">
        <f t="shared" si="54"/>
        <v>0</v>
      </c>
      <c r="BX218" s="33"/>
    </row>
    <row r="219" spans="66:76" ht="15.75">
      <c r="BN219" s="7">
        <f t="shared" si="52"/>
        <v>24</v>
      </c>
      <c r="BO219" s="5">
        <f t="shared" si="46"/>
        <v>0.17999999999999972</v>
      </c>
      <c r="BP219" s="13">
        <f t="shared" si="47"/>
        <v>-0.21600000000000003</v>
      </c>
      <c r="BQ219" s="13">
        <f t="shared" si="48"/>
        <v>-0.4635</v>
      </c>
      <c r="BR219" s="5">
        <f t="shared" si="53"/>
        <v>0</v>
      </c>
      <c r="BS219" s="5">
        <f t="shared" si="50"/>
        <v>0</v>
      </c>
      <c r="BT219" s="33"/>
      <c r="BU219" s="33">
        <f t="shared" si="51"/>
        <v>33</v>
      </c>
      <c r="BV219" s="36">
        <f t="shared" si="49"/>
        <v>0</v>
      </c>
      <c r="BW219" s="36">
        <f t="shared" si="54"/>
        <v>0</v>
      </c>
      <c r="BX219" s="33"/>
    </row>
    <row r="220" spans="66:76" ht="15.75">
      <c r="BN220" s="7">
        <f t="shared" si="52"/>
        <v>24</v>
      </c>
      <c r="BO220" s="5">
        <f t="shared" si="46"/>
        <v>0.17999999999999972</v>
      </c>
      <c r="BP220" s="13">
        <f t="shared" si="47"/>
        <v>-0.21600000000000003</v>
      </c>
      <c r="BQ220" s="13">
        <f t="shared" si="48"/>
        <v>-0.4635</v>
      </c>
      <c r="BR220" s="5">
        <f t="shared" si="53"/>
        <v>0</v>
      </c>
      <c r="BS220" s="5">
        <f t="shared" si="50"/>
        <v>0</v>
      </c>
      <c r="BT220" s="33"/>
      <c r="BU220" s="33">
        <f t="shared" si="51"/>
        <v>33</v>
      </c>
      <c r="BV220" s="36">
        <f t="shared" si="49"/>
        <v>0</v>
      </c>
      <c r="BW220" s="36">
        <f t="shared" si="54"/>
        <v>0</v>
      </c>
      <c r="BX220" s="33"/>
    </row>
    <row r="221" spans="66:76" ht="15.75">
      <c r="BN221" s="7">
        <f t="shared" si="52"/>
        <v>24</v>
      </c>
      <c r="BO221" s="5">
        <f t="shared" si="46"/>
        <v>0.17999999999999972</v>
      </c>
      <c r="BP221" s="13">
        <f t="shared" si="47"/>
        <v>-0.21600000000000003</v>
      </c>
      <c r="BQ221" s="13">
        <f t="shared" si="48"/>
        <v>-0.4635</v>
      </c>
      <c r="BR221" s="5">
        <f t="shared" si="53"/>
        <v>0</v>
      </c>
      <c r="BS221" s="5">
        <f t="shared" si="50"/>
        <v>0</v>
      </c>
      <c r="BT221" s="33"/>
      <c r="BU221" s="33">
        <f t="shared" si="51"/>
        <v>33</v>
      </c>
      <c r="BV221" s="36">
        <f t="shared" si="49"/>
        <v>0</v>
      </c>
      <c r="BW221" s="36">
        <f t="shared" si="54"/>
        <v>0</v>
      </c>
      <c r="BX221" s="33"/>
    </row>
    <row r="222" spans="66:76" ht="15.75">
      <c r="BN222" s="7">
        <f t="shared" si="52"/>
        <v>25</v>
      </c>
      <c r="BO222" s="5">
        <f t="shared" si="46"/>
        <v>0</v>
      </c>
      <c r="BP222" s="13">
        <f t="shared" si="47"/>
        <v>-0.225</v>
      </c>
      <c r="BQ222" s="13">
        <f t="shared" si="48"/>
        <v>-0.45000000000000007</v>
      </c>
      <c r="BR222" s="5">
        <f t="shared" si="53"/>
        <v>0</v>
      </c>
      <c r="BS222" s="5">
        <f t="shared" si="50"/>
        <v>0</v>
      </c>
      <c r="BT222" s="33"/>
      <c r="BU222" s="33">
        <f t="shared" si="51"/>
        <v>34</v>
      </c>
      <c r="BV222" s="36">
        <f t="shared" si="49"/>
        <v>0</v>
      </c>
      <c r="BW222" s="36">
        <f t="shared" si="54"/>
        <v>0</v>
      </c>
      <c r="BX222" s="33"/>
    </row>
    <row r="223" spans="66:76" ht="15.75">
      <c r="BN223" s="7">
        <f t="shared" si="52"/>
        <v>25</v>
      </c>
      <c r="BO223" s="5">
        <f t="shared" si="46"/>
        <v>0</v>
      </c>
      <c r="BP223" s="13">
        <f t="shared" si="47"/>
        <v>-0.225</v>
      </c>
      <c r="BQ223" s="13">
        <f t="shared" si="48"/>
        <v>-0.45000000000000007</v>
      </c>
      <c r="BR223" s="5">
        <f t="shared" si="53"/>
        <v>0</v>
      </c>
      <c r="BS223" s="5">
        <f t="shared" si="50"/>
        <v>0</v>
      </c>
      <c r="BT223" s="33"/>
      <c r="BU223" s="33">
        <f t="shared" si="51"/>
        <v>34</v>
      </c>
      <c r="BV223" s="36">
        <f t="shared" si="49"/>
        <v>0</v>
      </c>
      <c r="BW223" s="36">
        <f t="shared" si="54"/>
        <v>0</v>
      </c>
      <c r="BX223" s="33"/>
    </row>
    <row r="224" spans="66:76" ht="15.75">
      <c r="BN224" s="7">
        <f t="shared" si="52"/>
        <v>25</v>
      </c>
      <c r="BO224" s="5">
        <f t="shared" si="46"/>
        <v>0</v>
      </c>
      <c r="BP224" s="13">
        <f t="shared" si="47"/>
        <v>-0.225</v>
      </c>
      <c r="BQ224" s="13">
        <f t="shared" si="48"/>
        <v>-0.45000000000000007</v>
      </c>
      <c r="BR224" s="5">
        <f t="shared" si="53"/>
        <v>0</v>
      </c>
      <c r="BS224" s="5">
        <f t="shared" si="50"/>
        <v>0</v>
      </c>
      <c r="BT224" s="33"/>
      <c r="BU224" s="33">
        <f t="shared" si="51"/>
        <v>34</v>
      </c>
      <c r="BV224" s="36">
        <f t="shared" si="49"/>
        <v>0</v>
      </c>
      <c r="BW224" s="36">
        <f t="shared" si="54"/>
        <v>0</v>
      </c>
      <c r="BX224" s="33"/>
    </row>
    <row r="225" spans="66:76" ht="15.75">
      <c r="BN225" s="7">
        <f t="shared" si="52"/>
        <v>25</v>
      </c>
      <c r="BO225" s="5">
        <f t="shared" si="46"/>
        <v>0</v>
      </c>
      <c r="BP225" s="13">
        <f t="shared" si="47"/>
        <v>-0.225</v>
      </c>
      <c r="BQ225" s="13">
        <f t="shared" si="48"/>
        <v>-0.45000000000000007</v>
      </c>
      <c r="BR225" s="5">
        <f t="shared" si="53"/>
        <v>0</v>
      </c>
      <c r="BS225" s="5">
        <f t="shared" si="50"/>
        <v>0</v>
      </c>
      <c r="BT225" s="33"/>
      <c r="BU225" s="33">
        <f t="shared" si="51"/>
        <v>35</v>
      </c>
      <c r="BV225" s="36">
        <f t="shared" si="49"/>
        <v>0</v>
      </c>
      <c r="BW225" s="36">
        <f t="shared" si="54"/>
        <v>0</v>
      </c>
      <c r="BX225" s="33"/>
    </row>
    <row r="226" spans="66:76" ht="15.75">
      <c r="BN226" s="7">
        <f t="shared" si="52"/>
        <v>26</v>
      </c>
      <c r="BO226" s="5">
        <f t="shared" si="46"/>
        <v>-0.17999999999999972</v>
      </c>
      <c r="BP226" s="13">
        <f t="shared" si="47"/>
        <v>-0.23399999999999999</v>
      </c>
      <c r="BQ226" s="13">
        <f t="shared" si="48"/>
        <v>-0.43650000000000005</v>
      </c>
      <c r="BR226" s="5">
        <f t="shared" si="53"/>
        <v>0</v>
      </c>
      <c r="BS226" s="5">
        <f t="shared" si="50"/>
        <v>0</v>
      </c>
      <c r="BT226" s="33"/>
      <c r="BU226" s="33">
        <f t="shared" si="51"/>
        <v>35</v>
      </c>
      <c r="BV226" s="36">
        <f t="shared" si="49"/>
        <v>0</v>
      </c>
      <c r="BW226" s="36">
        <f t="shared" si="54"/>
        <v>0</v>
      </c>
      <c r="BX226" s="33"/>
    </row>
    <row r="227" spans="66:76" ht="15.75">
      <c r="BN227" s="7">
        <f t="shared" si="52"/>
        <v>26</v>
      </c>
      <c r="BO227" s="5">
        <f t="shared" si="46"/>
        <v>-0.17999999999999972</v>
      </c>
      <c r="BP227" s="13">
        <f t="shared" si="47"/>
        <v>-0.23399999999999999</v>
      </c>
      <c r="BQ227" s="13">
        <f t="shared" si="48"/>
        <v>-0.43650000000000005</v>
      </c>
      <c r="BR227" s="5">
        <f t="shared" si="53"/>
        <v>0</v>
      </c>
      <c r="BS227" s="5">
        <f t="shared" si="50"/>
        <v>0</v>
      </c>
      <c r="BT227" s="33"/>
      <c r="BU227" s="33">
        <f t="shared" si="51"/>
        <v>35</v>
      </c>
      <c r="BV227" s="36">
        <f t="shared" si="49"/>
        <v>0</v>
      </c>
      <c r="BW227" s="36">
        <f t="shared" si="54"/>
        <v>0</v>
      </c>
      <c r="BX227" s="33"/>
    </row>
    <row r="228" spans="66:76" ht="15.75">
      <c r="BN228" s="7">
        <f t="shared" si="52"/>
        <v>26</v>
      </c>
      <c r="BO228" s="5">
        <f t="shared" si="46"/>
        <v>-0.17999999999999972</v>
      </c>
      <c r="BP228" s="13">
        <f t="shared" si="47"/>
        <v>-0.23399999999999999</v>
      </c>
      <c r="BQ228" s="13">
        <f t="shared" si="48"/>
        <v>-0.43650000000000005</v>
      </c>
      <c r="BR228" s="5">
        <f t="shared" si="53"/>
        <v>0</v>
      </c>
      <c r="BS228" s="5">
        <f t="shared" si="50"/>
        <v>0</v>
      </c>
      <c r="BT228" s="33"/>
      <c r="BU228" s="33">
        <f t="shared" si="51"/>
        <v>36</v>
      </c>
      <c r="BV228" s="36">
        <f t="shared" si="49"/>
        <v>0</v>
      </c>
      <c r="BW228" s="36">
        <f t="shared" si="54"/>
        <v>0</v>
      </c>
      <c r="BX228" s="33"/>
    </row>
    <row r="229" spans="66:76" ht="15.75">
      <c r="BN229" s="7">
        <f t="shared" si="52"/>
        <v>26</v>
      </c>
      <c r="BO229" s="5">
        <f t="shared" si="46"/>
        <v>-0.17999999999999972</v>
      </c>
      <c r="BP229" s="13">
        <f t="shared" si="47"/>
        <v>-0.23399999999999999</v>
      </c>
      <c r="BQ229" s="13">
        <f t="shared" si="48"/>
        <v>-0.43650000000000005</v>
      </c>
      <c r="BR229" s="5">
        <f t="shared" si="53"/>
        <v>0</v>
      </c>
      <c r="BS229" s="5">
        <f t="shared" si="50"/>
        <v>0</v>
      </c>
      <c r="BT229" s="33"/>
      <c r="BU229" s="33">
        <f t="shared" si="51"/>
        <v>36</v>
      </c>
      <c r="BV229" s="36">
        <f t="shared" si="49"/>
        <v>0</v>
      </c>
      <c r="BW229" s="36">
        <f t="shared" si="54"/>
        <v>0</v>
      </c>
      <c r="BX229" s="33"/>
    </row>
    <row r="230" spans="66:76" ht="15.75">
      <c r="BN230" s="7">
        <f t="shared" si="52"/>
        <v>27</v>
      </c>
      <c r="BO230" s="5">
        <f t="shared" si="46"/>
        <v>-0.35999999999999943</v>
      </c>
      <c r="BP230" s="13">
        <f t="shared" si="47"/>
        <v>-0.24299999999999997</v>
      </c>
      <c r="BQ230" s="13">
        <f t="shared" si="48"/>
        <v>-0.4230000000000001</v>
      </c>
      <c r="BR230" s="5">
        <f t="shared" si="53"/>
        <v>0</v>
      </c>
      <c r="BS230" s="5">
        <f t="shared" si="50"/>
        <v>0</v>
      </c>
      <c r="BT230" s="33"/>
      <c r="BU230" s="33">
        <f t="shared" si="51"/>
        <v>36</v>
      </c>
      <c r="BV230" s="36">
        <f t="shared" si="49"/>
        <v>0</v>
      </c>
      <c r="BW230" s="36">
        <f t="shared" si="54"/>
        <v>0</v>
      </c>
      <c r="BX230" s="33"/>
    </row>
    <row r="231" spans="66:76" ht="15.75">
      <c r="BN231" s="7">
        <f t="shared" si="52"/>
        <v>27</v>
      </c>
      <c r="BO231" s="5">
        <f t="shared" si="46"/>
        <v>-0.35999999999999943</v>
      </c>
      <c r="BP231" s="13">
        <f t="shared" si="47"/>
        <v>-0.24299999999999997</v>
      </c>
      <c r="BQ231" s="13">
        <f t="shared" si="48"/>
        <v>-0.4230000000000001</v>
      </c>
      <c r="BR231" s="5">
        <f t="shared" si="53"/>
        <v>0</v>
      </c>
      <c r="BS231" s="5">
        <f t="shared" si="50"/>
        <v>0</v>
      </c>
      <c r="BT231" s="33"/>
      <c r="BU231" s="33">
        <f t="shared" si="51"/>
        <v>37</v>
      </c>
      <c r="BV231" s="36">
        <f t="shared" si="49"/>
        <v>0</v>
      </c>
      <c r="BW231" s="36">
        <f t="shared" si="54"/>
        <v>0</v>
      </c>
      <c r="BX231" s="33"/>
    </row>
    <row r="232" spans="66:76" ht="15.75">
      <c r="BN232" s="7">
        <f t="shared" si="52"/>
        <v>27</v>
      </c>
      <c r="BO232" s="5">
        <f t="shared" si="46"/>
        <v>-0.35999999999999943</v>
      </c>
      <c r="BP232" s="13">
        <f t="shared" si="47"/>
        <v>-0.24299999999999997</v>
      </c>
      <c r="BQ232" s="13">
        <f t="shared" si="48"/>
        <v>-0.4230000000000001</v>
      </c>
      <c r="BR232" s="5">
        <f t="shared" si="53"/>
        <v>0</v>
      </c>
      <c r="BS232" s="5">
        <f t="shared" si="50"/>
        <v>0</v>
      </c>
      <c r="BT232" s="33"/>
      <c r="BU232" s="33">
        <f t="shared" si="51"/>
        <v>37</v>
      </c>
      <c r="BV232" s="36">
        <f t="shared" si="49"/>
        <v>0</v>
      </c>
      <c r="BW232" s="36">
        <f t="shared" si="54"/>
        <v>0</v>
      </c>
      <c r="BX232" s="33"/>
    </row>
    <row r="233" spans="66:76" ht="15.75">
      <c r="BN233" s="7">
        <f t="shared" si="52"/>
        <v>27</v>
      </c>
      <c r="BO233" s="5">
        <f t="shared" si="46"/>
        <v>-0.35999999999999943</v>
      </c>
      <c r="BP233" s="13">
        <f t="shared" si="47"/>
        <v>-0.24299999999999997</v>
      </c>
      <c r="BQ233" s="13">
        <f t="shared" si="48"/>
        <v>-0.4230000000000001</v>
      </c>
      <c r="BR233" s="5">
        <f t="shared" si="53"/>
        <v>0</v>
      </c>
      <c r="BS233" s="5">
        <f t="shared" si="50"/>
        <v>0</v>
      </c>
      <c r="BT233" s="33"/>
      <c r="BU233" s="33">
        <f t="shared" si="51"/>
        <v>37</v>
      </c>
      <c r="BV233" s="36">
        <f t="shared" si="49"/>
        <v>0</v>
      </c>
      <c r="BW233" s="36">
        <f t="shared" si="54"/>
        <v>0</v>
      </c>
      <c r="BX233" s="33"/>
    </row>
    <row r="234" spans="66:76" ht="15.75">
      <c r="BN234" s="7">
        <f t="shared" si="52"/>
        <v>28</v>
      </c>
      <c r="BO234" s="5">
        <f t="shared" si="46"/>
        <v>-0.54</v>
      </c>
      <c r="BP234" s="13">
        <f t="shared" si="47"/>
        <v>-0.252</v>
      </c>
      <c r="BQ234" s="13">
        <f t="shared" si="48"/>
        <v>-0.40950000000000003</v>
      </c>
      <c r="BR234" s="5">
        <f t="shared" si="53"/>
        <v>0</v>
      </c>
      <c r="BS234" s="5">
        <f t="shared" si="50"/>
        <v>0</v>
      </c>
      <c r="BT234" s="33"/>
      <c r="BU234" s="33">
        <f t="shared" si="51"/>
        <v>38</v>
      </c>
      <c r="BV234" s="36">
        <f t="shared" si="49"/>
        <v>0</v>
      </c>
      <c r="BW234" s="36">
        <f t="shared" si="54"/>
        <v>0</v>
      </c>
      <c r="BX234" s="33"/>
    </row>
    <row r="235" spans="66:76" ht="15.75">
      <c r="BN235" s="7">
        <f t="shared" si="52"/>
        <v>28</v>
      </c>
      <c r="BO235" s="5">
        <f t="shared" si="46"/>
        <v>-0.54</v>
      </c>
      <c r="BP235" s="13">
        <f t="shared" si="47"/>
        <v>-0.252</v>
      </c>
      <c r="BQ235" s="13">
        <f t="shared" si="48"/>
        <v>-0.40950000000000003</v>
      </c>
      <c r="BR235" s="5">
        <f t="shared" si="53"/>
        <v>0</v>
      </c>
      <c r="BS235" s="5">
        <f t="shared" si="50"/>
        <v>0</v>
      </c>
      <c r="BT235" s="33"/>
      <c r="BU235" s="33">
        <f t="shared" si="51"/>
        <v>38</v>
      </c>
      <c r="BV235" s="36">
        <f t="shared" si="49"/>
        <v>0</v>
      </c>
      <c r="BW235" s="36">
        <f t="shared" si="54"/>
        <v>0</v>
      </c>
      <c r="BX235" s="33"/>
    </row>
    <row r="236" spans="66:76" ht="15.75">
      <c r="BN236" s="7">
        <f t="shared" si="52"/>
        <v>28</v>
      </c>
      <c r="BO236" s="5">
        <f t="shared" si="46"/>
        <v>-0.54</v>
      </c>
      <c r="BP236" s="13">
        <f t="shared" si="47"/>
        <v>-0.252</v>
      </c>
      <c r="BQ236" s="13">
        <f t="shared" si="48"/>
        <v>-0.40950000000000003</v>
      </c>
      <c r="BR236" s="5">
        <f t="shared" si="53"/>
        <v>0</v>
      </c>
      <c r="BS236" s="5">
        <f t="shared" si="50"/>
        <v>0</v>
      </c>
      <c r="BT236" s="33"/>
      <c r="BU236" s="33">
        <f t="shared" si="51"/>
        <v>38</v>
      </c>
      <c r="BV236" s="36">
        <f t="shared" si="49"/>
        <v>0</v>
      </c>
      <c r="BW236" s="36">
        <f t="shared" si="54"/>
        <v>0</v>
      </c>
      <c r="BX236" s="33"/>
    </row>
    <row r="237" spans="66:76" ht="15.75">
      <c r="BN237" s="7">
        <f t="shared" si="52"/>
        <v>28</v>
      </c>
      <c r="BO237" s="5">
        <f t="shared" si="46"/>
        <v>-0.54</v>
      </c>
      <c r="BP237" s="13">
        <f t="shared" si="47"/>
        <v>-0.252</v>
      </c>
      <c r="BQ237" s="13">
        <f t="shared" si="48"/>
        <v>-0.40950000000000003</v>
      </c>
      <c r="BR237" s="5">
        <f t="shared" si="53"/>
        <v>0</v>
      </c>
      <c r="BS237" s="5">
        <f t="shared" si="50"/>
        <v>0</v>
      </c>
      <c r="BT237" s="33"/>
      <c r="BU237" s="33">
        <f t="shared" si="51"/>
        <v>39</v>
      </c>
      <c r="BV237" s="36">
        <f t="shared" si="49"/>
        <v>0</v>
      </c>
      <c r="BW237" s="36">
        <f t="shared" si="54"/>
        <v>0</v>
      </c>
      <c r="BX237" s="33"/>
    </row>
    <row r="238" spans="66:76" ht="15.75">
      <c r="BN238" s="7">
        <f t="shared" si="52"/>
        <v>29</v>
      </c>
      <c r="BO238" s="5">
        <f t="shared" si="46"/>
        <v>-0.7199999999999998</v>
      </c>
      <c r="BP238" s="13">
        <f t="shared" si="47"/>
        <v>-0.261</v>
      </c>
      <c r="BQ238" s="13">
        <f t="shared" si="48"/>
        <v>-0.3960000000000001</v>
      </c>
      <c r="BR238" s="5">
        <f t="shared" si="53"/>
        <v>0</v>
      </c>
      <c r="BS238" s="5">
        <f t="shared" si="50"/>
        <v>0</v>
      </c>
      <c r="BT238" s="33"/>
      <c r="BU238" s="33">
        <f t="shared" si="51"/>
        <v>39</v>
      </c>
      <c r="BV238" s="36">
        <f t="shared" si="49"/>
        <v>0</v>
      </c>
      <c r="BW238" s="36">
        <f t="shared" si="54"/>
        <v>0</v>
      </c>
      <c r="BX238" s="33"/>
    </row>
    <row r="239" spans="66:76" ht="15.75">
      <c r="BN239" s="7">
        <f t="shared" si="52"/>
        <v>29</v>
      </c>
      <c r="BO239" s="5">
        <f t="shared" si="46"/>
        <v>-0.7199999999999998</v>
      </c>
      <c r="BP239" s="13">
        <f t="shared" si="47"/>
        <v>-0.261</v>
      </c>
      <c r="BQ239" s="13">
        <f t="shared" si="48"/>
        <v>-0.3960000000000001</v>
      </c>
      <c r="BR239" s="5">
        <f t="shared" si="53"/>
        <v>0</v>
      </c>
      <c r="BS239" s="5">
        <f t="shared" si="50"/>
        <v>0</v>
      </c>
      <c r="BT239" s="33"/>
      <c r="BU239" s="33">
        <f t="shared" si="51"/>
        <v>39</v>
      </c>
      <c r="BV239" s="36">
        <f t="shared" si="49"/>
        <v>0</v>
      </c>
      <c r="BW239" s="36">
        <f t="shared" si="54"/>
        <v>0</v>
      </c>
      <c r="BX239" s="33"/>
    </row>
    <row r="240" spans="66:76" ht="15.75">
      <c r="BN240" s="7">
        <f t="shared" si="52"/>
        <v>29</v>
      </c>
      <c r="BO240" s="5">
        <f t="shared" si="46"/>
        <v>-0.7199999999999998</v>
      </c>
      <c r="BP240" s="13">
        <f t="shared" si="47"/>
        <v>-0.261</v>
      </c>
      <c r="BQ240" s="13">
        <f t="shared" si="48"/>
        <v>-0.3960000000000001</v>
      </c>
      <c r="BR240" s="5">
        <f t="shared" si="53"/>
        <v>0</v>
      </c>
      <c r="BS240" s="5">
        <f t="shared" si="50"/>
        <v>0</v>
      </c>
      <c r="BT240" s="33"/>
      <c r="BU240" s="33">
        <f t="shared" si="51"/>
        <v>40</v>
      </c>
      <c r="BV240" s="36">
        <f t="shared" si="49"/>
        <v>0</v>
      </c>
      <c r="BW240" s="36">
        <f t="shared" si="54"/>
        <v>0</v>
      </c>
      <c r="BX240" s="33"/>
    </row>
    <row r="241" spans="66:76" ht="15.75">
      <c r="BN241" s="7">
        <f t="shared" si="52"/>
        <v>29</v>
      </c>
      <c r="BO241" s="5">
        <f t="shared" si="46"/>
        <v>-0.7199999999999998</v>
      </c>
      <c r="BP241" s="13">
        <f t="shared" si="47"/>
        <v>-0.261</v>
      </c>
      <c r="BQ241" s="13">
        <f t="shared" si="48"/>
        <v>-0.3960000000000001</v>
      </c>
      <c r="BR241" s="5">
        <f t="shared" si="53"/>
        <v>0</v>
      </c>
      <c r="BS241" s="5">
        <f t="shared" si="50"/>
        <v>0</v>
      </c>
      <c r="BT241" s="33"/>
      <c r="BU241" s="33">
        <f t="shared" si="51"/>
        <v>40</v>
      </c>
      <c r="BV241" s="36">
        <f t="shared" si="49"/>
        <v>0</v>
      </c>
      <c r="BW241" s="36">
        <f t="shared" si="54"/>
        <v>0</v>
      </c>
      <c r="BX241" s="33"/>
    </row>
    <row r="242" spans="66:76" ht="15.75">
      <c r="BN242" s="7">
        <f t="shared" si="52"/>
        <v>30</v>
      </c>
      <c r="BO242" s="5">
        <f t="shared" si="46"/>
        <v>-0.8999999999999995</v>
      </c>
      <c r="BP242" s="13">
        <f t="shared" si="47"/>
        <v>-0.26999999999999996</v>
      </c>
      <c r="BQ242" s="13">
        <f t="shared" si="48"/>
        <v>-0.38250000000000006</v>
      </c>
      <c r="BR242" s="5">
        <f t="shared" si="53"/>
        <v>0</v>
      </c>
      <c r="BS242" s="5">
        <f t="shared" si="50"/>
        <v>0</v>
      </c>
      <c r="BT242" s="33"/>
      <c r="BU242" s="33">
        <f t="shared" si="51"/>
        <v>40</v>
      </c>
      <c r="BV242" s="36">
        <f t="shared" si="49"/>
        <v>0</v>
      </c>
      <c r="BW242" s="36">
        <f t="shared" si="54"/>
        <v>0</v>
      </c>
      <c r="BX242" s="33"/>
    </row>
    <row r="243" spans="66:76" ht="15.75">
      <c r="BN243" s="7">
        <f t="shared" si="52"/>
        <v>30</v>
      </c>
      <c r="BO243" s="5">
        <f t="shared" si="46"/>
        <v>-0.8999999999999995</v>
      </c>
      <c r="BP243" s="13">
        <f t="shared" si="47"/>
        <v>-0.26999999999999996</v>
      </c>
      <c r="BQ243" s="13">
        <f t="shared" si="48"/>
        <v>-0.38250000000000006</v>
      </c>
      <c r="BR243" s="5">
        <f t="shared" si="53"/>
        <v>0</v>
      </c>
      <c r="BS243" s="5">
        <f t="shared" si="50"/>
        <v>0</v>
      </c>
      <c r="BT243" s="33"/>
      <c r="BU243" s="33">
        <f t="shared" si="51"/>
        <v>41</v>
      </c>
      <c r="BV243" s="36">
        <f t="shared" si="49"/>
        <v>0</v>
      </c>
      <c r="BW243" s="36">
        <f t="shared" si="54"/>
        <v>0</v>
      </c>
      <c r="BX243" s="33"/>
    </row>
    <row r="244" spans="66:76" ht="15.75">
      <c r="BN244" s="7">
        <f t="shared" si="52"/>
        <v>30</v>
      </c>
      <c r="BO244" s="5">
        <f t="shared" si="46"/>
        <v>-0.8999999999999995</v>
      </c>
      <c r="BP244" s="13">
        <f t="shared" si="47"/>
        <v>-0.26999999999999996</v>
      </c>
      <c r="BQ244" s="13">
        <f t="shared" si="48"/>
        <v>-0.38250000000000006</v>
      </c>
      <c r="BR244" s="5">
        <f t="shared" si="53"/>
        <v>0</v>
      </c>
      <c r="BS244" s="5">
        <f t="shared" si="50"/>
        <v>0</v>
      </c>
      <c r="BT244" s="33"/>
      <c r="BU244" s="33">
        <f t="shared" si="51"/>
        <v>41</v>
      </c>
      <c r="BV244" s="36">
        <f t="shared" si="49"/>
        <v>0</v>
      </c>
      <c r="BW244" s="36">
        <f t="shared" si="54"/>
        <v>0</v>
      </c>
      <c r="BX244" s="33"/>
    </row>
    <row r="245" spans="66:76" ht="15.75">
      <c r="BN245" s="7">
        <f t="shared" si="52"/>
        <v>30</v>
      </c>
      <c r="BO245" s="5">
        <f t="shared" si="46"/>
        <v>-0.8999999999999995</v>
      </c>
      <c r="BP245" s="13">
        <f t="shared" si="47"/>
        <v>-0.26999999999999996</v>
      </c>
      <c r="BQ245" s="13">
        <f t="shared" si="48"/>
        <v>-0.38250000000000006</v>
      </c>
      <c r="BR245" s="5">
        <f t="shared" si="53"/>
        <v>0</v>
      </c>
      <c r="BS245" s="5">
        <f t="shared" si="50"/>
        <v>0</v>
      </c>
      <c r="BT245" s="33"/>
      <c r="BU245" s="33">
        <f t="shared" si="51"/>
        <v>41</v>
      </c>
      <c r="BV245" s="36">
        <f t="shared" si="49"/>
        <v>0</v>
      </c>
      <c r="BW245" s="36">
        <f t="shared" si="54"/>
        <v>0</v>
      </c>
      <c r="BX245" s="33"/>
    </row>
    <row r="246" spans="66:76" ht="15.75">
      <c r="BN246" s="7">
        <f t="shared" si="52"/>
        <v>31</v>
      </c>
      <c r="BO246" s="5">
        <f t="shared" si="46"/>
        <v>-1.08</v>
      </c>
      <c r="BP246" s="13">
        <f t="shared" si="47"/>
        <v>-0.279</v>
      </c>
      <c r="BQ246" s="13">
        <f t="shared" si="48"/>
        <v>-0.36900000000000005</v>
      </c>
      <c r="BR246" s="5">
        <f t="shared" si="53"/>
        <v>0</v>
      </c>
      <c r="BS246" s="5">
        <f t="shared" si="50"/>
        <v>0</v>
      </c>
      <c r="BT246" s="33"/>
      <c r="BU246" s="33">
        <f t="shared" si="51"/>
        <v>42</v>
      </c>
      <c r="BV246" s="36">
        <f t="shared" si="49"/>
        <v>0</v>
      </c>
      <c r="BW246" s="36">
        <f t="shared" si="54"/>
        <v>0</v>
      </c>
      <c r="BX246" s="33"/>
    </row>
    <row r="247" spans="66:76" ht="15.75">
      <c r="BN247" s="7">
        <f t="shared" si="52"/>
        <v>31</v>
      </c>
      <c r="BO247" s="5">
        <f t="shared" si="46"/>
        <v>-1.08</v>
      </c>
      <c r="BP247" s="13">
        <f t="shared" si="47"/>
        <v>-0.279</v>
      </c>
      <c r="BQ247" s="13">
        <f t="shared" si="48"/>
        <v>-0.36900000000000005</v>
      </c>
      <c r="BR247" s="5">
        <f t="shared" si="53"/>
        <v>0</v>
      </c>
      <c r="BS247" s="5">
        <f t="shared" si="50"/>
        <v>0</v>
      </c>
      <c r="BT247" s="33"/>
      <c r="BU247" s="33">
        <f t="shared" si="51"/>
        <v>42</v>
      </c>
      <c r="BV247" s="36">
        <f t="shared" si="49"/>
        <v>0</v>
      </c>
      <c r="BW247" s="36">
        <f t="shared" si="54"/>
        <v>0</v>
      </c>
      <c r="BX247" s="33"/>
    </row>
    <row r="248" spans="66:76" ht="15.75">
      <c r="BN248" s="7">
        <f t="shared" si="52"/>
        <v>31</v>
      </c>
      <c r="BO248" s="5">
        <f t="shared" si="46"/>
        <v>-1.08</v>
      </c>
      <c r="BP248" s="13">
        <f t="shared" si="47"/>
        <v>-0.279</v>
      </c>
      <c r="BQ248" s="13">
        <f t="shared" si="48"/>
        <v>-0.36900000000000005</v>
      </c>
      <c r="BR248" s="5">
        <f t="shared" si="53"/>
        <v>0</v>
      </c>
      <c r="BS248" s="5">
        <f t="shared" si="50"/>
        <v>0</v>
      </c>
      <c r="BT248" s="33"/>
      <c r="BU248" s="33">
        <f t="shared" si="51"/>
        <v>42</v>
      </c>
      <c r="BV248" s="36">
        <f t="shared" si="49"/>
        <v>0</v>
      </c>
      <c r="BW248" s="36">
        <f aca="true" t="shared" si="55" ref="BW248:BW271">IF($P$4=0,0,IF(BV248&lt;0,$C$6,IF(BV248&gt;0,-$BN$7,-$C$2/2+$BP$118*BU248)))</f>
        <v>0</v>
      </c>
      <c r="BX248" s="33"/>
    </row>
    <row r="249" spans="66:76" ht="15.75">
      <c r="BN249" s="7">
        <f t="shared" si="52"/>
        <v>31</v>
      </c>
      <c r="BO249" s="5">
        <f t="shared" si="46"/>
        <v>-1.08</v>
      </c>
      <c r="BP249" s="13">
        <f t="shared" si="47"/>
        <v>-0.279</v>
      </c>
      <c r="BQ249" s="13">
        <f t="shared" si="48"/>
        <v>-0.36900000000000005</v>
      </c>
      <c r="BR249" s="5">
        <f t="shared" si="53"/>
        <v>0</v>
      </c>
      <c r="BS249" s="5">
        <f t="shared" si="50"/>
        <v>0</v>
      </c>
      <c r="BT249" s="33"/>
      <c r="BU249" s="33">
        <f t="shared" si="51"/>
        <v>43</v>
      </c>
      <c r="BV249" s="36">
        <f t="shared" si="49"/>
        <v>0</v>
      </c>
      <c r="BW249" s="36">
        <f t="shared" si="55"/>
        <v>0</v>
      </c>
      <c r="BX249" s="33"/>
    </row>
    <row r="250" spans="66:76" ht="15.75">
      <c r="BN250" s="7">
        <f t="shared" si="52"/>
        <v>32</v>
      </c>
      <c r="BO250" s="5">
        <f t="shared" si="46"/>
        <v>-1.2599999999999998</v>
      </c>
      <c r="BP250" s="13">
        <f t="shared" si="47"/>
        <v>-0.288</v>
      </c>
      <c r="BQ250" s="13">
        <f t="shared" si="48"/>
        <v>-0.3555000000000001</v>
      </c>
      <c r="BR250" s="5">
        <f t="shared" si="53"/>
        <v>0</v>
      </c>
      <c r="BS250" s="5">
        <f t="shared" si="50"/>
        <v>0</v>
      </c>
      <c r="BT250" s="33"/>
      <c r="BU250" s="33">
        <f t="shared" si="51"/>
        <v>43</v>
      </c>
      <c r="BV250" s="36">
        <f t="shared" si="49"/>
        <v>0</v>
      </c>
      <c r="BW250" s="36">
        <f t="shared" si="55"/>
        <v>0</v>
      </c>
      <c r="BX250" s="33"/>
    </row>
    <row r="251" spans="66:76" ht="15.75">
      <c r="BN251" s="7">
        <f t="shared" si="52"/>
        <v>32</v>
      </c>
      <c r="BO251" s="5">
        <f aca="true" t="shared" si="56" ref="BO251:BO314">$C$2/2-$BP$118*BN251</f>
        <v>-1.2599999999999998</v>
      </c>
      <c r="BP251" s="13">
        <f aca="true" t="shared" si="57" ref="BP251:BP314">(BO251-$C$2/2)/$C$4</f>
        <v>-0.288</v>
      </c>
      <c r="BQ251" s="13">
        <f aca="true" t="shared" si="58" ref="BQ251:BQ314">IF($C$3=$C$4,$BW$43,(-$BN$7-BO251)/$BN$4)</f>
        <v>-0.3555000000000001</v>
      </c>
      <c r="BR251" s="5">
        <f t="shared" si="53"/>
        <v>0</v>
      </c>
      <c r="BS251" s="5">
        <f t="shared" si="50"/>
        <v>0</v>
      </c>
      <c r="BT251" s="33"/>
      <c r="BU251" s="33">
        <f t="shared" si="51"/>
        <v>43</v>
      </c>
      <c r="BV251" s="36">
        <f t="shared" si="49"/>
        <v>0</v>
      </c>
      <c r="BW251" s="36">
        <f t="shared" si="55"/>
        <v>0</v>
      </c>
      <c r="BX251" s="33"/>
    </row>
    <row r="252" spans="66:76" ht="15.75">
      <c r="BN252" s="7">
        <f t="shared" si="52"/>
        <v>32</v>
      </c>
      <c r="BO252" s="5">
        <f t="shared" si="56"/>
        <v>-1.2599999999999998</v>
      </c>
      <c r="BP252" s="13">
        <f t="shared" si="57"/>
        <v>-0.288</v>
      </c>
      <c r="BQ252" s="13">
        <f t="shared" si="58"/>
        <v>-0.3555000000000001</v>
      </c>
      <c r="BR252" s="5">
        <f t="shared" si="53"/>
        <v>0</v>
      </c>
      <c r="BS252" s="5">
        <f t="shared" si="50"/>
        <v>0</v>
      </c>
      <c r="BT252" s="33"/>
      <c r="BU252" s="33">
        <f t="shared" si="51"/>
        <v>44</v>
      </c>
      <c r="BV252" s="36">
        <f aca="true" t="shared" si="59" ref="BV252:BV271">BV249</f>
        <v>0</v>
      </c>
      <c r="BW252" s="36">
        <f t="shared" si="55"/>
        <v>0</v>
      </c>
      <c r="BX252" s="33"/>
    </row>
    <row r="253" spans="66:76" ht="15.75">
      <c r="BN253" s="7">
        <f t="shared" si="52"/>
        <v>32</v>
      </c>
      <c r="BO253" s="5">
        <f t="shared" si="56"/>
        <v>-1.2599999999999998</v>
      </c>
      <c r="BP253" s="13">
        <f t="shared" si="57"/>
        <v>-0.288</v>
      </c>
      <c r="BQ253" s="13">
        <f t="shared" si="58"/>
        <v>-0.3555000000000001</v>
      </c>
      <c r="BR253" s="5">
        <f t="shared" si="53"/>
        <v>0</v>
      </c>
      <c r="BS253" s="5">
        <f aca="true" t="shared" si="60" ref="BS253:BS316">IF($P$4=0,0,IF(BR253&lt;0,$C$6,IF(BR253=0,BO253,BQ253*BR253+BO253)))</f>
        <v>0</v>
      </c>
      <c r="BT253" s="33"/>
      <c r="BU253" s="33">
        <f aca="true" t="shared" si="61" ref="BU253:BU271">IF(BV253=0,BU250+1,0)</f>
        <v>44</v>
      </c>
      <c r="BV253" s="36">
        <f t="shared" si="59"/>
        <v>0</v>
      </c>
      <c r="BW253" s="36">
        <f t="shared" si="55"/>
        <v>0</v>
      </c>
      <c r="BX253" s="33"/>
    </row>
    <row r="254" spans="66:76" ht="15.75">
      <c r="BN254" s="7">
        <f t="shared" si="52"/>
        <v>33</v>
      </c>
      <c r="BO254" s="5">
        <f t="shared" si="56"/>
        <v>-1.4399999999999995</v>
      </c>
      <c r="BP254" s="13">
        <f t="shared" si="57"/>
        <v>-0.297</v>
      </c>
      <c r="BQ254" s="13">
        <f t="shared" si="58"/>
        <v>-0.3420000000000001</v>
      </c>
      <c r="BR254" s="5">
        <f t="shared" si="53"/>
        <v>0</v>
      </c>
      <c r="BS254" s="5">
        <f t="shared" si="60"/>
        <v>0</v>
      </c>
      <c r="BT254" s="33"/>
      <c r="BU254" s="33">
        <f t="shared" si="61"/>
        <v>44</v>
      </c>
      <c r="BV254" s="36">
        <f t="shared" si="59"/>
        <v>0</v>
      </c>
      <c r="BW254" s="36">
        <f t="shared" si="55"/>
        <v>0</v>
      </c>
      <c r="BX254" s="33"/>
    </row>
    <row r="255" spans="66:76" ht="15.75">
      <c r="BN255" s="7">
        <f aca="true" t="shared" si="62" ref="BN255:BN318">BN251+1</f>
        <v>33</v>
      </c>
      <c r="BO255" s="5">
        <f t="shared" si="56"/>
        <v>-1.4399999999999995</v>
      </c>
      <c r="BP255" s="13">
        <f t="shared" si="57"/>
        <v>-0.297</v>
      </c>
      <c r="BQ255" s="13">
        <f t="shared" si="58"/>
        <v>-0.3420000000000001</v>
      </c>
      <c r="BR255" s="5">
        <f aca="true" t="shared" si="63" ref="BR255:BR318">BR251</f>
        <v>0</v>
      </c>
      <c r="BS255" s="5">
        <f t="shared" si="60"/>
        <v>0</v>
      </c>
      <c r="BT255" s="33"/>
      <c r="BU255" s="33">
        <f t="shared" si="61"/>
        <v>45</v>
      </c>
      <c r="BV255" s="36">
        <f t="shared" si="59"/>
        <v>0</v>
      </c>
      <c r="BW255" s="36">
        <f t="shared" si="55"/>
        <v>0</v>
      </c>
      <c r="BX255" s="33"/>
    </row>
    <row r="256" spans="66:76" ht="15.75">
      <c r="BN256" s="7">
        <f t="shared" si="62"/>
        <v>33</v>
      </c>
      <c r="BO256" s="5">
        <f t="shared" si="56"/>
        <v>-1.4399999999999995</v>
      </c>
      <c r="BP256" s="13">
        <f t="shared" si="57"/>
        <v>-0.297</v>
      </c>
      <c r="BQ256" s="13">
        <f t="shared" si="58"/>
        <v>-0.3420000000000001</v>
      </c>
      <c r="BR256" s="5">
        <f t="shared" si="63"/>
        <v>0</v>
      </c>
      <c r="BS256" s="5">
        <f t="shared" si="60"/>
        <v>0</v>
      </c>
      <c r="BT256" s="33"/>
      <c r="BU256" s="33">
        <f t="shared" si="61"/>
        <v>45</v>
      </c>
      <c r="BV256" s="36">
        <f t="shared" si="59"/>
        <v>0</v>
      </c>
      <c r="BW256" s="36">
        <f t="shared" si="55"/>
        <v>0</v>
      </c>
      <c r="BX256" s="33"/>
    </row>
    <row r="257" spans="66:76" ht="15.75">
      <c r="BN257" s="7">
        <f t="shared" si="62"/>
        <v>33</v>
      </c>
      <c r="BO257" s="5">
        <f t="shared" si="56"/>
        <v>-1.4399999999999995</v>
      </c>
      <c r="BP257" s="13">
        <f t="shared" si="57"/>
        <v>-0.297</v>
      </c>
      <c r="BQ257" s="13">
        <f t="shared" si="58"/>
        <v>-0.3420000000000001</v>
      </c>
      <c r="BR257" s="5">
        <f t="shared" si="63"/>
        <v>0</v>
      </c>
      <c r="BS257" s="5">
        <f t="shared" si="60"/>
        <v>0</v>
      </c>
      <c r="BT257" s="33"/>
      <c r="BU257" s="33">
        <f t="shared" si="61"/>
        <v>45</v>
      </c>
      <c r="BV257" s="36">
        <f t="shared" si="59"/>
        <v>0</v>
      </c>
      <c r="BW257" s="36">
        <f t="shared" si="55"/>
        <v>0</v>
      </c>
      <c r="BX257" s="33"/>
    </row>
    <row r="258" spans="66:76" ht="15.75">
      <c r="BN258" s="7">
        <f t="shared" si="62"/>
        <v>34</v>
      </c>
      <c r="BO258" s="5">
        <f t="shared" si="56"/>
        <v>-1.62</v>
      </c>
      <c r="BP258" s="13">
        <f t="shared" si="57"/>
        <v>-0.306</v>
      </c>
      <c r="BQ258" s="13">
        <f t="shared" si="58"/>
        <v>-0.32850000000000007</v>
      </c>
      <c r="BR258" s="5">
        <f t="shared" si="63"/>
        <v>0</v>
      </c>
      <c r="BS258" s="5">
        <f t="shared" si="60"/>
        <v>0</v>
      </c>
      <c r="BT258" s="33"/>
      <c r="BU258" s="33">
        <f t="shared" si="61"/>
        <v>46</v>
      </c>
      <c r="BV258" s="36">
        <f t="shared" si="59"/>
        <v>0</v>
      </c>
      <c r="BW258" s="36">
        <f t="shared" si="55"/>
        <v>0</v>
      </c>
      <c r="BX258" s="33"/>
    </row>
    <row r="259" spans="66:76" ht="15.75">
      <c r="BN259" s="7">
        <f t="shared" si="62"/>
        <v>34</v>
      </c>
      <c r="BO259" s="5">
        <f t="shared" si="56"/>
        <v>-1.62</v>
      </c>
      <c r="BP259" s="13">
        <f t="shared" si="57"/>
        <v>-0.306</v>
      </c>
      <c r="BQ259" s="13">
        <f t="shared" si="58"/>
        <v>-0.32850000000000007</v>
      </c>
      <c r="BR259" s="5">
        <f t="shared" si="63"/>
        <v>0</v>
      </c>
      <c r="BS259" s="5">
        <f t="shared" si="60"/>
        <v>0</v>
      </c>
      <c r="BT259" s="33"/>
      <c r="BU259" s="33">
        <f t="shared" si="61"/>
        <v>46</v>
      </c>
      <c r="BV259" s="36">
        <f t="shared" si="59"/>
        <v>0</v>
      </c>
      <c r="BW259" s="36">
        <f t="shared" si="55"/>
        <v>0</v>
      </c>
      <c r="BX259" s="33"/>
    </row>
    <row r="260" spans="66:76" ht="15.75">
      <c r="BN260" s="7">
        <f t="shared" si="62"/>
        <v>34</v>
      </c>
      <c r="BO260" s="5">
        <f t="shared" si="56"/>
        <v>-1.62</v>
      </c>
      <c r="BP260" s="13">
        <f t="shared" si="57"/>
        <v>-0.306</v>
      </c>
      <c r="BQ260" s="13">
        <f t="shared" si="58"/>
        <v>-0.32850000000000007</v>
      </c>
      <c r="BR260" s="5">
        <f t="shared" si="63"/>
        <v>0</v>
      </c>
      <c r="BS260" s="5">
        <f t="shared" si="60"/>
        <v>0</v>
      </c>
      <c r="BT260" s="33"/>
      <c r="BU260" s="33">
        <f t="shared" si="61"/>
        <v>46</v>
      </c>
      <c r="BV260" s="36">
        <f t="shared" si="59"/>
        <v>0</v>
      </c>
      <c r="BW260" s="36">
        <f t="shared" si="55"/>
        <v>0</v>
      </c>
      <c r="BX260" s="33"/>
    </row>
    <row r="261" spans="66:76" ht="15.75">
      <c r="BN261" s="7">
        <f t="shared" si="62"/>
        <v>34</v>
      </c>
      <c r="BO261" s="5">
        <f t="shared" si="56"/>
        <v>-1.62</v>
      </c>
      <c r="BP261" s="13">
        <f t="shared" si="57"/>
        <v>-0.306</v>
      </c>
      <c r="BQ261" s="13">
        <f t="shared" si="58"/>
        <v>-0.32850000000000007</v>
      </c>
      <c r="BR261" s="5">
        <f t="shared" si="63"/>
        <v>0</v>
      </c>
      <c r="BS261" s="5">
        <f t="shared" si="60"/>
        <v>0</v>
      </c>
      <c r="BT261" s="33"/>
      <c r="BU261" s="33">
        <f t="shared" si="61"/>
        <v>47</v>
      </c>
      <c r="BV261" s="36">
        <f t="shared" si="59"/>
        <v>0</v>
      </c>
      <c r="BW261" s="36">
        <f t="shared" si="55"/>
        <v>0</v>
      </c>
      <c r="BX261" s="33"/>
    </row>
    <row r="262" spans="66:76" ht="15.75">
      <c r="BN262" s="7">
        <f t="shared" si="62"/>
        <v>35</v>
      </c>
      <c r="BO262" s="5">
        <f t="shared" si="56"/>
        <v>-1.7999999999999998</v>
      </c>
      <c r="BP262" s="13">
        <f t="shared" si="57"/>
        <v>-0.315</v>
      </c>
      <c r="BQ262" s="13">
        <f t="shared" si="58"/>
        <v>-0.31500000000000006</v>
      </c>
      <c r="BR262" s="5">
        <f t="shared" si="63"/>
        <v>0</v>
      </c>
      <c r="BS262" s="5">
        <f t="shared" si="60"/>
        <v>0</v>
      </c>
      <c r="BT262" s="33"/>
      <c r="BU262" s="33">
        <f t="shared" si="61"/>
        <v>47</v>
      </c>
      <c r="BV262" s="36">
        <f t="shared" si="59"/>
        <v>0</v>
      </c>
      <c r="BW262" s="36">
        <f t="shared" si="55"/>
        <v>0</v>
      </c>
      <c r="BX262" s="33"/>
    </row>
    <row r="263" spans="66:76" ht="15.75">
      <c r="BN263" s="7">
        <f t="shared" si="62"/>
        <v>35</v>
      </c>
      <c r="BO263" s="5">
        <f t="shared" si="56"/>
        <v>-1.7999999999999998</v>
      </c>
      <c r="BP263" s="13">
        <f t="shared" si="57"/>
        <v>-0.315</v>
      </c>
      <c r="BQ263" s="13">
        <f t="shared" si="58"/>
        <v>-0.31500000000000006</v>
      </c>
      <c r="BR263" s="5">
        <f t="shared" si="63"/>
        <v>0</v>
      </c>
      <c r="BS263" s="5">
        <f t="shared" si="60"/>
        <v>0</v>
      </c>
      <c r="BT263" s="33"/>
      <c r="BU263" s="33">
        <f t="shared" si="61"/>
        <v>47</v>
      </c>
      <c r="BV263" s="36">
        <f t="shared" si="59"/>
        <v>0</v>
      </c>
      <c r="BW263" s="36">
        <f t="shared" si="55"/>
        <v>0</v>
      </c>
      <c r="BX263" s="33"/>
    </row>
    <row r="264" spans="66:76" ht="15.75">
      <c r="BN264" s="7">
        <f t="shared" si="62"/>
        <v>35</v>
      </c>
      <c r="BO264" s="5">
        <f t="shared" si="56"/>
        <v>-1.7999999999999998</v>
      </c>
      <c r="BP264" s="13">
        <f t="shared" si="57"/>
        <v>-0.315</v>
      </c>
      <c r="BQ264" s="13">
        <f t="shared" si="58"/>
        <v>-0.31500000000000006</v>
      </c>
      <c r="BR264" s="5">
        <f t="shared" si="63"/>
        <v>0</v>
      </c>
      <c r="BS264" s="5">
        <f t="shared" si="60"/>
        <v>0</v>
      </c>
      <c r="BT264" s="33"/>
      <c r="BU264" s="33">
        <f t="shared" si="61"/>
        <v>48</v>
      </c>
      <c r="BV264" s="36">
        <f t="shared" si="59"/>
        <v>0</v>
      </c>
      <c r="BW264" s="36">
        <f t="shared" si="55"/>
        <v>0</v>
      </c>
      <c r="BX264" s="33"/>
    </row>
    <row r="265" spans="66:76" ht="15.75">
      <c r="BN265" s="7">
        <f t="shared" si="62"/>
        <v>35</v>
      </c>
      <c r="BO265" s="5">
        <f t="shared" si="56"/>
        <v>-1.7999999999999998</v>
      </c>
      <c r="BP265" s="13">
        <f t="shared" si="57"/>
        <v>-0.315</v>
      </c>
      <c r="BQ265" s="13">
        <f t="shared" si="58"/>
        <v>-0.31500000000000006</v>
      </c>
      <c r="BR265" s="5">
        <f t="shared" si="63"/>
        <v>0</v>
      </c>
      <c r="BS265" s="5">
        <f t="shared" si="60"/>
        <v>0</v>
      </c>
      <c r="BT265" s="33"/>
      <c r="BU265" s="33">
        <f t="shared" si="61"/>
        <v>48</v>
      </c>
      <c r="BV265" s="36">
        <f t="shared" si="59"/>
        <v>0</v>
      </c>
      <c r="BW265" s="36">
        <f t="shared" si="55"/>
        <v>0</v>
      </c>
      <c r="BX265" s="33"/>
    </row>
    <row r="266" spans="66:76" ht="15.75">
      <c r="BN266" s="7">
        <f t="shared" si="62"/>
        <v>36</v>
      </c>
      <c r="BO266" s="5">
        <f t="shared" si="56"/>
        <v>-1.9799999999999995</v>
      </c>
      <c r="BP266" s="13">
        <f t="shared" si="57"/>
        <v>-0.32399999999999995</v>
      </c>
      <c r="BQ266" s="13">
        <f t="shared" si="58"/>
        <v>-0.3015000000000001</v>
      </c>
      <c r="BR266" s="5">
        <f t="shared" si="63"/>
        <v>0</v>
      </c>
      <c r="BS266" s="5">
        <f t="shared" si="60"/>
        <v>0</v>
      </c>
      <c r="BT266" s="33"/>
      <c r="BU266" s="33">
        <f t="shared" si="61"/>
        <v>48</v>
      </c>
      <c r="BV266" s="36">
        <f t="shared" si="59"/>
        <v>0</v>
      </c>
      <c r="BW266" s="36">
        <f t="shared" si="55"/>
        <v>0</v>
      </c>
      <c r="BX266" s="33"/>
    </row>
    <row r="267" spans="66:76" ht="15.75">
      <c r="BN267" s="7">
        <f t="shared" si="62"/>
        <v>36</v>
      </c>
      <c r="BO267" s="5">
        <f t="shared" si="56"/>
        <v>-1.9799999999999995</v>
      </c>
      <c r="BP267" s="13">
        <f t="shared" si="57"/>
        <v>-0.32399999999999995</v>
      </c>
      <c r="BQ267" s="13">
        <f t="shared" si="58"/>
        <v>-0.3015000000000001</v>
      </c>
      <c r="BR267" s="5">
        <f t="shared" si="63"/>
        <v>0</v>
      </c>
      <c r="BS267" s="5">
        <f t="shared" si="60"/>
        <v>0</v>
      </c>
      <c r="BT267" s="33"/>
      <c r="BU267" s="33">
        <f t="shared" si="61"/>
        <v>49</v>
      </c>
      <c r="BV267" s="36">
        <f t="shared" si="59"/>
        <v>0</v>
      </c>
      <c r="BW267" s="36">
        <f t="shared" si="55"/>
        <v>0</v>
      </c>
      <c r="BX267" s="33"/>
    </row>
    <row r="268" spans="66:76" ht="15.75">
      <c r="BN268" s="7">
        <f t="shared" si="62"/>
        <v>36</v>
      </c>
      <c r="BO268" s="5">
        <f t="shared" si="56"/>
        <v>-1.9799999999999995</v>
      </c>
      <c r="BP268" s="13">
        <f t="shared" si="57"/>
        <v>-0.32399999999999995</v>
      </c>
      <c r="BQ268" s="13">
        <f t="shared" si="58"/>
        <v>-0.3015000000000001</v>
      </c>
      <c r="BR268" s="5">
        <f t="shared" si="63"/>
        <v>0</v>
      </c>
      <c r="BS268" s="5">
        <f t="shared" si="60"/>
        <v>0</v>
      </c>
      <c r="BT268" s="33"/>
      <c r="BU268" s="33">
        <f t="shared" si="61"/>
        <v>49</v>
      </c>
      <c r="BV268" s="36">
        <f t="shared" si="59"/>
        <v>0</v>
      </c>
      <c r="BW268" s="36">
        <f t="shared" si="55"/>
        <v>0</v>
      </c>
      <c r="BX268" s="33"/>
    </row>
    <row r="269" spans="66:76" ht="15.75">
      <c r="BN269" s="7">
        <f t="shared" si="62"/>
        <v>36</v>
      </c>
      <c r="BO269" s="5">
        <f t="shared" si="56"/>
        <v>-1.9799999999999995</v>
      </c>
      <c r="BP269" s="13">
        <f t="shared" si="57"/>
        <v>-0.32399999999999995</v>
      </c>
      <c r="BQ269" s="13">
        <f t="shared" si="58"/>
        <v>-0.3015000000000001</v>
      </c>
      <c r="BR269" s="5">
        <f t="shared" si="63"/>
        <v>0</v>
      </c>
      <c r="BS269" s="5">
        <f t="shared" si="60"/>
        <v>0</v>
      </c>
      <c r="BT269" s="33"/>
      <c r="BU269" s="33">
        <f t="shared" si="61"/>
        <v>49</v>
      </c>
      <c r="BV269" s="36">
        <f t="shared" si="59"/>
        <v>0</v>
      </c>
      <c r="BW269" s="36">
        <f t="shared" si="55"/>
        <v>0</v>
      </c>
      <c r="BX269" s="33"/>
    </row>
    <row r="270" spans="66:76" ht="15.75">
      <c r="BN270" s="7">
        <f t="shared" si="62"/>
        <v>37</v>
      </c>
      <c r="BO270" s="5">
        <f t="shared" si="56"/>
        <v>-2.16</v>
      </c>
      <c r="BP270" s="13">
        <f t="shared" si="57"/>
        <v>-0.333</v>
      </c>
      <c r="BQ270" s="13">
        <f t="shared" si="58"/>
        <v>-0.28800000000000003</v>
      </c>
      <c r="BR270" s="5">
        <f t="shared" si="63"/>
        <v>0</v>
      </c>
      <c r="BS270" s="5">
        <f t="shared" si="60"/>
        <v>0</v>
      </c>
      <c r="BT270" s="33"/>
      <c r="BU270" s="33">
        <f t="shared" si="61"/>
        <v>50</v>
      </c>
      <c r="BV270" s="36">
        <f t="shared" si="59"/>
        <v>0</v>
      </c>
      <c r="BW270" s="36">
        <f t="shared" si="55"/>
        <v>0</v>
      </c>
      <c r="BX270" s="33"/>
    </row>
    <row r="271" spans="66:76" ht="15.75">
      <c r="BN271" s="7">
        <f t="shared" si="62"/>
        <v>37</v>
      </c>
      <c r="BO271" s="5">
        <f t="shared" si="56"/>
        <v>-2.16</v>
      </c>
      <c r="BP271" s="13">
        <f t="shared" si="57"/>
        <v>-0.333</v>
      </c>
      <c r="BQ271" s="13">
        <f t="shared" si="58"/>
        <v>-0.28800000000000003</v>
      </c>
      <c r="BR271" s="5">
        <f t="shared" si="63"/>
        <v>0</v>
      </c>
      <c r="BS271" s="5">
        <f t="shared" si="60"/>
        <v>0</v>
      </c>
      <c r="BT271" s="33"/>
      <c r="BU271" s="33">
        <f t="shared" si="61"/>
        <v>50</v>
      </c>
      <c r="BV271" s="36">
        <f t="shared" si="59"/>
        <v>0</v>
      </c>
      <c r="BW271" s="36">
        <f t="shared" si="55"/>
        <v>0</v>
      </c>
      <c r="BX271" s="33"/>
    </row>
    <row r="272" spans="66:76" ht="15.75">
      <c r="BN272" s="7">
        <f t="shared" si="62"/>
        <v>37</v>
      </c>
      <c r="BO272" s="5">
        <f t="shared" si="56"/>
        <v>-2.16</v>
      </c>
      <c r="BP272" s="13">
        <f t="shared" si="57"/>
        <v>-0.333</v>
      </c>
      <c r="BQ272" s="13">
        <f t="shared" si="58"/>
        <v>-0.28800000000000003</v>
      </c>
      <c r="BR272" s="5">
        <f t="shared" si="63"/>
        <v>0</v>
      </c>
      <c r="BS272" s="5">
        <f t="shared" si="60"/>
        <v>0</v>
      </c>
      <c r="BT272" s="33"/>
      <c r="BU272" s="33"/>
      <c r="BV272" s="36">
        <f>MAX(BV120:BV271)</f>
        <v>0</v>
      </c>
      <c r="BW272" s="36">
        <f>MAX(BW120:BW271)</f>
        <v>0</v>
      </c>
      <c r="BX272" s="37" t="s">
        <v>56</v>
      </c>
    </row>
    <row r="273" spans="66:76" ht="15.75">
      <c r="BN273" s="7">
        <f t="shared" si="62"/>
        <v>37</v>
      </c>
      <c r="BO273" s="5">
        <f t="shared" si="56"/>
        <v>-2.16</v>
      </c>
      <c r="BP273" s="13">
        <f t="shared" si="57"/>
        <v>-0.333</v>
      </c>
      <c r="BQ273" s="13">
        <f t="shared" si="58"/>
        <v>-0.28800000000000003</v>
      </c>
      <c r="BR273" s="5">
        <f t="shared" si="63"/>
        <v>0</v>
      </c>
      <c r="BS273" s="5">
        <f t="shared" si="60"/>
        <v>0</v>
      </c>
      <c r="BT273" s="33"/>
      <c r="BU273" s="33"/>
      <c r="BV273" s="36">
        <f>MIN(BV120:BV271)</f>
        <v>0</v>
      </c>
      <c r="BW273" s="36">
        <f>MIN(BW120:BW271)</f>
        <v>0</v>
      </c>
      <c r="BX273" s="37" t="s">
        <v>57</v>
      </c>
    </row>
    <row r="274" spans="66:76" ht="15.75">
      <c r="BN274" s="7">
        <f t="shared" si="62"/>
        <v>38</v>
      </c>
      <c r="BO274" s="5">
        <f t="shared" si="56"/>
        <v>-2.34</v>
      </c>
      <c r="BP274" s="13">
        <f t="shared" si="57"/>
        <v>-0.34199999999999997</v>
      </c>
      <c r="BQ274" s="13">
        <f t="shared" si="58"/>
        <v>-0.2745000000000001</v>
      </c>
      <c r="BR274" s="5">
        <f t="shared" si="63"/>
        <v>0</v>
      </c>
      <c r="BS274" s="5">
        <f t="shared" si="60"/>
        <v>0</v>
      </c>
      <c r="BT274" s="33"/>
      <c r="BU274" s="33"/>
      <c r="BV274" s="31">
        <f>MAX(BV272:BV273)</f>
        <v>0</v>
      </c>
      <c r="BW274" s="31">
        <f>MAX(BW272:BW273)</f>
        <v>0</v>
      </c>
      <c r="BX274" s="33"/>
    </row>
    <row r="275" spans="66:75" ht="15.75">
      <c r="BN275" s="7">
        <f t="shared" si="62"/>
        <v>38</v>
      </c>
      <c r="BO275" s="5">
        <f t="shared" si="56"/>
        <v>-2.34</v>
      </c>
      <c r="BP275" s="13">
        <f t="shared" si="57"/>
        <v>-0.34199999999999997</v>
      </c>
      <c r="BQ275" s="13">
        <f t="shared" si="58"/>
        <v>-0.2745000000000001</v>
      </c>
      <c r="BR275" s="5">
        <f t="shared" si="63"/>
        <v>0</v>
      </c>
      <c r="BS275" s="5">
        <f t="shared" si="60"/>
        <v>0</v>
      </c>
      <c r="BV275" s="7"/>
      <c r="BW275" s="7"/>
    </row>
    <row r="276" spans="66:75" ht="15.75">
      <c r="BN276" s="7">
        <f t="shared" si="62"/>
        <v>38</v>
      </c>
      <c r="BO276" s="5">
        <f t="shared" si="56"/>
        <v>-2.34</v>
      </c>
      <c r="BP276" s="13">
        <f t="shared" si="57"/>
        <v>-0.34199999999999997</v>
      </c>
      <c r="BQ276" s="13">
        <f t="shared" si="58"/>
        <v>-0.2745000000000001</v>
      </c>
      <c r="BR276" s="5">
        <f t="shared" si="63"/>
        <v>0</v>
      </c>
      <c r="BS276" s="5">
        <f t="shared" si="60"/>
        <v>0</v>
      </c>
      <c r="BV276" s="7"/>
      <c r="BW276" s="7"/>
    </row>
    <row r="277" spans="66:75" ht="15.75">
      <c r="BN277" s="7">
        <f t="shared" si="62"/>
        <v>38</v>
      </c>
      <c r="BO277" s="5">
        <f t="shared" si="56"/>
        <v>-2.34</v>
      </c>
      <c r="BP277" s="13">
        <f t="shared" si="57"/>
        <v>-0.34199999999999997</v>
      </c>
      <c r="BQ277" s="13">
        <f t="shared" si="58"/>
        <v>-0.2745000000000001</v>
      </c>
      <c r="BR277" s="5">
        <f t="shared" si="63"/>
        <v>0</v>
      </c>
      <c r="BS277" s="5">
        <f t="shared" si="60"/>
        <v>0</v>
      </c>
      <c r="BV277" s="7"/>
      <c r="BW277" s="7"/>
    </row>
    <row r="278" spans="66:75" ht="15.75">
      <c r="BN278" s="7">
        <f t="shared" si="62"/>
        <v>39</v>
      </c>
      <c r="BO278" s="5">
        <f t="shared" si="56"/>
        <v>-2.5199999999999996</v>
      </c>
      <c r="BP278" s="13">
        <f t="shared" si="57"/>
        <v>-0.351</v>
      </c>
      <c r="BQ278" s="13">
        <f t="shared" si="58"/>
        <v>-0.26100000000000007</v>
      </c>
      <c r="BR278" s="5">
        <f t="shared" si="63"/>
        <v>0</v>
      </c>
      <c r="BS278" s="5">
        <f t="shared" si="60"/>
        <v>0</v>
      </c>
      <c r="BV278" s="7"/>
      <c r="BW278" s="7"/>
    </row>
    <row r="279" spans="66:75" ht="15.75">
      <c r="BN279" s="7">
        <f t="shared" si="62"/>
        <v>39</v>
      </c>
      <c r="BO279" s="5">
        <f t="shared" si="56"/>
        <v>-2.5199999999999996</v>
      </c>
      <c r="BP279" s="13">
        <f t="shared" si="57"/>
        <v>-0.351</v>
      </c>
      <c r="BQ279" s="13">
        <f t="shared" si="58"/>
        <v>-0.26100000000000007</v>
      </c>
      <c r="BR279" s="5">
        <f t="shared" si="63"/>
        <v>0</v>
      </c>
      <c r="BS279" s="5">
        <f t="shared" si="60"/>
        <v>0</v>
      </c>
      <c r="BV279" s="7"/>
      <c r="BW279" s="7"/>
    </row>
    <row r="280" spans="66:75" ht="15.75">
      <c r="BN280" s="7">
        <f t="shared" si="62"/>
        <v>39</v>
      </c>
      <c r="BO280" s="5">
        <f t="shared" si="56"/>
        <v>-2.5199999999999996</v>
      </c>
      <c r="BP280" s="13">
        <f t="shared" si="57"/>
        <v>-0.351</v>
      </c>
      <c r="BQ280" s="13">
        <f t="shared" si="58"/>
        <v>-0.26100000000000007</v>
      </c>
      <c r="BR280" s="5">
        <f t="shared" si="63"/>
        <v>0</v>
      </c>
      <c r="BS280" s="5">
        <f t="shared" si="60"/>
        <v>0</v>
      </c>
      <c r="BV280" s="7"/>
      <c r="BW280" s="7"/>
    </row>
    <row r="281" spans="66:75" ht="15.75">
      <c r="BN281" s="7">
        <f t="shared" si="62"/>
        <v>39</v>
      </c>
      <c r="BO281" s="5">
        <f t="shared" si="56"/>
        <v>-2.5199999999999996</v>
      </c>
      <c r="BP281" s="13">
        <f t="shared" si="57"/>
        <v>-0.351</v>
      </c>
      <c r="BQ281" s="13">
        <f t="shared" si="58"/>
        <v>-0.26100000000000007</v>
      </c>
      <c r="BR281" s="5">
        <f t="shared" si="63"/>
        <v>0</v>
      </c>
      <c r="BS281" s="5">
        <f t="shared" si="60"/>
        <v>0</v>
      </c>
      <c r="BV281" s="7"/>
      <c r="BW281" s="7"/>
    </row>
    <row r="282" spans="66:75" ht="15.75">
      <c r="BN282" s="7">
        <f t="shared" si="62"/>
        <v>40</v>
      </c>
      <c r="BO282" s="5">
        <f t="shared" si="56"/>
        <v>-2.6999999999999993</v>
      </c>
      <c r="BP282" s="13">
        <f t="shared" si="57"/>
        <v>-0.36</v>
      </c>
      <c r="BQ282" s="13">
        <f t="shared" si="58"/>
        <v>-0.2475000000000001</v>
      </c>
      <c r="BR282" s="5">
        <f t="shared" si="63"/>
        <v>0</v>
      </c>
      <c r="BS282" s="5">
        <f t="shared" si="60"/>
        <v>0</v>
      </c>
      <c r="BV282" s="7"/>
      <c r="BW282" s="7"/>
    </row>
    <row r="283" spans="66:75" ht="15.75">
      <c r="BN283" s="7">
        <f t="shared" si="62"/>
        <v>40</v>
      </c>
      <c r="BO283" s="5">
        <f t="shared" si="56"/>
        <v>-2.6999999999999993</v>
      </c>
      <c r="BP283" s="13">
        <f t="shared" si="57"/>
        <v>-0.36</v>
      </c>
      <c r="BQ283" s="13">
        <f t="shared" si="58"/>
        <v>-0.2475000000000001</v>
      </c>
      <c r="BR283" s="5">
        <f t="shared" si="63"/>
        <v>0</v>
      </c>
      <c r="BS283" s="5">
        <f t="shared" si="60"/>
        <v>0</v>
      </c>
      <c r="BV283" s="7"/>
      <c r="BW283" s="7"/>
    </row>
    <row r="284" spans="66:75" ht="15.75">
      <c r="BN284" s="7">
        <f t="shared" si="62"/>
        <v>40</v>
      </c>
      <c r="BO284" s="5">
        <f t="shared" si="56"/>
        <v>-2.6999999999999993</v>
      </c>
      <c r="BP284" s="13">
        <f t="shared" si="57"/>
        <v>-0.36</v>
      </c>
      <c r="BQ284" s="13">
        <f t="shared" si="58"/>
        <v>-0.2475000000000001</v>
      </c>
      <c r="BR284" s="5">
        <f t="shared" si="63"/>
        <v>0</v>
      </c>
      <c r="BS284" s="5">
        <f t="shared" si="60"/>
        <v>0</v>
      </c>
      <c r="BV284" s="7"/>
      <c r="BW284" s="7"/>
    </row>
    <row r="285" spans="66:75" ht="15.75">
      <c r="BN285" s="7">
        <f t="shared" si="62"/>
        <v>40</v>
      </c>
      <c r="BO285" s="5">
        <f t="shared" si="56"/>
        <v>-2.6999999999999993</v>
      </c>
      <c r="BP285" s="13">
        <f t="shared" si="57"/>
        <v>-0.36</v>
      </c>
      <c r="BQ285" s="13">
        <f t="shared" si="58"/>
        <v>-0.2475000000000001</v>
      </c>
      <c r="BR285" s="5">
        <f t="shared" si="63"/>
        <v>0</v>
      </c>
      <c r="BS285" s="5">
        <f t="shared" si="60"/>
        <v>0</v>
      </c>
      <c r="BV285" s="7"/>
      <c r="BW285" s="7"/>
    </row>
    <row r="286" spans="66:75" ht="15.75">
      <c r="BN286" s="7">
        <f t="shared" si="62"/>
        <v>41</v>
      </c>
      <c r="BO286" s="5">
        <f t="shared" si="56"/>
        <v>-2.88</v>
      </c>
      <c r="BP286" s="13">
        <f t="shared" si="57"/>
        <v>-0.369</v>
      </c>
      <c r="BQ286" s="13">
        <f t="shared" si="58"/>
        <v>-0.23400000000000007</v>
      </c>
      <c r="BR286" s="5">
        <f t="shared" si="63"/>
        <v>0</v>
      </c>
      <c r="BS286" s="5">
        <f t="shared" si="60"/>
        <v>0</v>
      </c>
      <c r="BV286" s="7"/>
      <c r="BW286" s="7"/>
    </row>
    <row r="287" spans="66:75" ht="15.75">
      <c r="BN287" s="7">
        <f t="shared" si="62"/>
        <v>41</v>
      </c>
      <c r="BO287" s="5">
        <f t="shared" si="56"/>
        <v>-2.88</v>
      </c>
      <c r="BP287" s="13">
        <f t="shared" si="57"/>
        <v>-0.369</v>
      </c>
      <c r="BQ287" s="13">
        <f t="shared" si="58"/>
        <v>-0.23400000000000007</v>
      </c>
      <c r="BR287" s="5">
        <f t="shared" si="63"/>
        <v>0</v>
      </c>
      <c r="BS287" s="5">
        <f t="shared" si="60"/>
        <v>0</v>
      </c>
      <c r="BV287" s="7"/>
      <c r="BW287" s="7"/>
    </row>
    <row r="288" spans="66:75" ht="15.75">
      <c r="BN288" s="7">
        <f t="shared" si="62"/>
        <v>41</v>
      </c>
      <c r="BO288" s="5">
        <f t="shared" si="56"/>
        <v>-2.88</v>
      </c>
      <c r="BP288" s="13">
        <f t="shared" si="57"/>
        <v>-0.369</v>
      </c>
      <c r="BQ288" s="13">
        <f t="shared" si="58"/>
        <v>-0.23400000000000007</v>
      </c>
      <c r="BR288" s="5">
        <f t="shared" si="63"/>
        <v>0</v>
      </c>
      <c r="BS288" s="5">
        <f t="shared" si="60"/>
        <v>0</v>
      </c>
      <c r="BV288" s="7"/>
      <c r="BW288" s="7"/>
    </row>
    <row r="289" spans="66:75" ht="15.75">
      <c r="BN289" s="7">
        <f t="shared" si="62"/>
        <v>41</v>
      </c>
      <c r="BO289" s="5">
        <f t="shared" si="56"/>
        <v>-2.88</v>
      </c>
      <c r="BP289" s="13">
        <f t="shared" si="57"/>
        <v>-0.369</v>
      </c>
      <c r="BQ289" s="13">
        <f t="shared" si="58"/>
        <v>-0.23400000000000007</v>
      </c>
      <c r="BR289" s="5">
        <f t="shared" si="63"/>
        <v>0</v>
      </c>
      <c r="BS289" s="5">
        <f t="shared" si="60"/>
        <v>0</v>
      </c>
      <c r="BV289" s="7"/>
      <c r="BW289" s="7"/>
    </row>
    <row r="290" spans="66:75" ht="15.75">
      <c r="BN290" s="7">
        <f t="shared" si="62"/>
        <v>42</v>
      </c>
      <c r="BO290" s="5">
        <f t="shared" si="56"/>
        <v>-3.0599999999999996</v>
      </c>
      <c r="BP290" s="13">
        <f t="shared" si="57"/>
        <v>-0.378</v>
      </c>
      <c r="BQ290" s="13">
        <f t="shared" si="58"/>
        <v>-0.22050000000000008</v>
      </c>
      <c r="BR290" s="5">
        <f t="shared" si="63"/>
        <v>0</v>
      </c>
      <c r="BS290" s="5">
        <f t="shared" si="60"/>
        <v>0</v>
      </c>
      <c r="BV290" s="7"/>
      <c r="BW290" s="7"/>
    </row>
    <row r="291" spans="66:75" ht="15.75">
      <c r="BN291" s="7">
        <f t="shared" si="62"/>
        <v>42</v>
      </c>
      <c r="BO291" s="5">
        <f t="shared" si="56"/>
        <v>-3.0599999999999996</v>
      </c>
      <c r="BP291" s="13">
        <f t="shared" si="57"/>
        <v>-0.378</v>
      </c>
      <c r="BQ291" s="13">
        <f t="shared" si="58"/>
        <v>-0.22050000000000008</v>
      </c>
      <c r="BR291" s="5">
        <f t="shared" si="63"/>
        <v>0</v>
      </c>
      <c r="BS291" s="5">
        <f t="shared" si="60"/>
        <v>0</v>
      </c>
      <c r="BV291" s="7"/>
      <c r="BW291" s="7"/>
    </row>
    <row r="292" spans="66:75" ht="15.75">
      <c r="BN292" s="7">
        <f t="shared" si="62"/>
        <v>42</v>
      </c>
      <c r="BO292" s="5">
        <f t="shared" si="56"/>
        <v>-3.0599999999999996</v>
      </c>
      <c r="BP292" s="13">
        <f t="shared" si="57"/>
        <v>-0.378</v>
      </c>
      <c r="BQ292" s="13">
        <f t="shared" si="58"/>
        <v>-0.22050000000000008</v>
      </c>
      <c r="BR292" s="5">
        <f t="shared" si="63"/>
        <v>0</v>
      </c>
      <c r="BS292" s="5">
        <f t="shared" si="60"/>
        <v>0</v>
      </c>
      <c r="BV292" s="7"/>
      <c r="BW292" s="7"/>
    </row>
    <row r="293" spans="66:75" ht="15.75">
      <c r="BN293" s="7">
        <f t="shared" si="62"/>
        <v>42</v>
      </c>
      <c r="BO293" s="5">
        <f t="shared" si="56"/>
        <v>-3.0599999999999996</v>
      </c>
      <c r="BP293" s="13">
        <f t="shared" si="57"/>
        <v>-0.378</v>
      </c>
      <c r="BQ293" s="13">
        <f t="shared" si="58"/>
        <v>-0.22050000000000008</v>
      </c>
      <c r="BR293" s="5">
        <f t="shared" si="63"/>
        <v>0</v>
      </c>
      <c r="BS293" s="5">
        <f t="shared" si="60"/>
        <v>0</v>
      </c>
      <c r="BV293" s="7"/>
      <c r="BW293" s="7"/>
    </row>
    <row r="294" spans="66:75" ht="15.75">
      <c r="BN294" s="7">
        <f t="shared" si="62"/>
        <v>43</v>
      </c>
      <c r="BO294" s="5">
        <f t="shared" si="56"/>
        <v>-3.2399999999999993</v>
      </c>
      <c r="BP294" s="13">
        <f t="shared" si="57"/>
        <v>-0.38699999999999996</v>
      </c>
      <c r="BQ294" s="13">
        <f t="shared" si="58"/>
        <v>-0.2070000000000001</v>
      </c>
      <c r="BR294" s="5">
        <f t="shared" si="63"/>
        <v>0</v>
      </c>
      <c r="BS294" s="5">
        <f t="shared" si="60"/>
        <v>0</v>
      </c>
      <c r="BV294" s="7"/>
      <c r="BW294" s="7"/>
    </row>
    <row r="295" spans="66:75" ht="15.75">
      <c r="BN295" s="7">
        <f t="shared" si="62"/>
        <v>43</v>
      </c>
      <c r="BO295" s="5">
        <f t="shared" si="56"/>
        <v>-3.2399999999999993</v>
      </c>
      <c r="BP295" s="13">
        <f t="shared" si="57"/>
        <v>-0.38699999999999996</v>
      </c>
      <c r="BQ295" s="13">
        <f t="shared" si="58"/>
        <v>-0.2070000000000001</v>
      </c>
      <c r="BR295" s="5">
        <f t="shared" si="63"/>
        <v>0</v>
      </c>
      <c r="BS295" s="5">
        <f t="shared" si="60"/>
        <v>0</v>
      </c>
      <c r="BV295" s="7"/>
      <c r="BW295" s="7"/>
    </row>
    <row r="296" spans="66:75" ht="15.75">
      <c r="BN296" s="7">
        <f t="shared" si="62"/>
        <v>43</v>
      </c>
      <c r="BO296" s="5">
        <f t="shared" si="56"/>
        <v>-3.2399999999999993</v>
      </c>
      <c r="BP296" s="13">
        <f t="shared" si="57"/>
        <v>-0.38699999999999996</v>
      </c>
      <c r="BQ296" s="13">
        <f t="shared" si="58"/>
        <v>-0.2070000000000001</v>
      </c>
      <c r="BR296" s="5">
        <f t="shared" si="63"/>
        <v>0</v>
      </c>
      <c r="BS296" s="5">
        <f t="shared" si="60"/>
        <v>0</v>
      </c>
      <c r="BV296" s="7"/>
      <c r="BW296" s="7"/>
    </row>
    <row r="297" spans="66:75" ht="15.75">
      <c r="BN297" s="7">
        <f t="shared" si="62"/>
        <v>43</v>
      </c>
      <c r="BO297" s="5">
        <f t="shared" si="56"/>
        <v>-3.2399999999999993</v>
      </c>
      <c r="BP297" s="13">
        <f t="shared" si="57"/>
        <v>-0.38699999999999996</v>
      </c>
      <c r="BQ297" s="13">
        <f t="shared" si="58"/>
        <v>-0.2070000000000001</v>
      </c>
      <c r="BR297" s="5">
        <f t="shared" si="63"/>
        <v>0</v>
      </c>
      <c r="BS297" s="5">
        <f t="shared" si="60"/>
        <v>0</v>
      </c>
      <c r="BV297" s="7"/>
      <c r="BW297" s="7"/>
    </row>
    <row r="298" spans="66:75" ht="15.75">
      <c r="BN298" s="7">
        <f t="shared" si="62"/>
        <v>44</v>
      </c>
      <c r="BO298" s="5">
        <f t="shared" si="56"/>
        <v>-3.42</v>
      </c>
      <c r="BP298" s="13">
        <f t="shared" si="57"/>
        <v>-0.396</v>
      </c>
      <c r="BQ298" s="13">
        <f t="shared" si="58"/>
        <v>-0.19350000000000006</v>
      </c>
      <c r="BR298" s="5">
        <f t="shared" si="63"/>
        <v>0</v>
      </c>
      <c r="BS298" s="5">
        <f t="shared" si="60"/>
        <v>0</v>
      </c>
      <c r="BV298" s="7"/>
      <c r="BW298" s="7"/>
    </row>
    <row r="299" spans="66:75" ht="15.75">
      <c r="BN299" s="7">
        <f t="shared" si="62"/>
        <v>44</v>
      </c>
      <c r="BO299" s="5">
        <f t="shared" si="56"/>
        <v>-3.42</v>
      </c>
      <c r="BP299" s="13">
        <f t="shared" si="57"/>
        <v>-0.396</v>
      </c>
      <c r="BQ299" s="13">
        <f t="shared" si="58"/>
        <v>-0.19350000000000006</v>
      </c>
      <c r="BR299" s="5">
        <f t="shared" si="63"/>
        <v>0</v>
      </c>
      <c r="BS299" s="5">
        <f t="shared" si="60"/>
        <v>0</v>
      </c>
      <c r="BV299" s="7"/>
      <c r="BW299" s="7"/>
    </row>
    <row r="300" spans="66:75" ht="15.75">
      <c r="BN300" s="7">
        <f t="shared" si="62"/>
        <v>44</v>
      </c>
      <c r="BO300" s="5">
        <f t="shared" si="56"/>
        <v>-3.42</v>
      </c>
      <c r="BP300" s="13">
        <f t="shared" si="57"/>
        <v>-0.396</v>
      </c>
      <c r="BQ300" s="13">
        <f t="shared" si="58"/>
        <v>-0.19350000000000006</v>
      </c>
      <c r="BR300" s="5">
        <f t="shared" si="63"/>
        <v>0</v>
      </c>
      <c r="BS300" s="5">
        <f t="shared" si="60"/>
        <v>0</v>
      </c>
      <c r="BV300" s="7"/>
      <c r="BW300" s="7"/>
    </row>
    <row r="301" spans="66:75" ht="15.75">
      <c r="BN301" s="7">
        <f t="shared" si="62"/>
        <v>44</v>
      </c>
      <c r="BO301" s="5">
        <f t="shared" si="56"/>
        <v>-3.42</v>
      </c>
      <c r="BP301" s="13">
        <f t="shared" si="57"/>
        <v>-0.396</v>
      </c>
      <c r="BQ301" s="13">
        <f t="shared" si="58"/>
        <v>-0.19350000000000006</v>
      </c>
      <c r="BR301" s="5">
        <f t="shared" si="63"/>
        <v>0</v>
      </c>
      <c r="BS301" s="5">
        <f t="shared" si="60"/>
        <v>0</v>
      </c>
      <c r="BV301" s="7"/>
      <c r="BW301" s="7"/>
    </row>
    <row r="302" spans="66:75" ht="15.75">
      <c r="BN302" s="7">
        <f t="shared" si="62"/>
        <v>45</v>
      </c>
      <c r="BO302" s="5">
        <f t="shared" si="56"/>
        <v>-3.5999999999999996</v>
      </c>
      <c r="BP302" s="13">
        <f t="shared" si="57"/>
        <v>-0.40499999999999997</v>
      </c>
      <c r="BQ302" s="13">
        <f t="shared" si="58"/>
        <v>-0.18000000000000008</v>
      </c>
      <c r="BR302" s="5">
        <f t="shared" si="63"/>
        <v>0</v>
      </c>
      <c r="BS302" s="5">
        <f t="shared" si="60"/>
        <v>0</v>
      </c>
      <c r="BV302" s="7"/>
      <c r="BW302" s="7"/>
    </row>
    <row r="303" spans="66:75" ht="15.75">
      <c r="BN303" s="7">
        <f t="shared" si="62"/>
        <v>45</v>
      </c>
      <c r="BO303" s="5">
        <f t="shared" si="56"/>
        <v>-3.5999999999999996</v>
      </c>
      <c r="BP303" s="13">
        <f t="shared" si="57"/>
        <v>-0.40499999999999997</v>
      </c>
      <c r="BQ303" s="13">
        <f t="shared" si="58"/>
        <v>-0.18000000000000008</v>
      </c>
      <c r="BR303" s="5">
        <f t="shared" si="63"/>
        <v>0</v>
      </c>
      <c r="BS303" s="5">
        <f t="shared" si="60"/>
        <v>0</v>
      </c>
      <c r="BV303" s="7"/>
      <c r="BW303" s="7"/>
    </row>
    <row r="304" spans="66:75" ht="15.75">
      <c r="BN304" s="7">
        <f t="shared" si="62"/>
        <v>45</v>
      </c>
      <c r="BO304" s="5">
        <f t="shared" si="56"/>
        <v>-3.5999999999999996</v>
      </c>
      <c r="BP304" s="13">
        <f t="shared" si="57"/>
        <v>-0.40499999999999997</v>
      </c>
      <c r="BQ304" s="13">
        <f t="shared" si="58"/>
        <v>-0.18000000000000008</v>
      </c>
      <c r="BR304" s="5">
        <f t="shared" si="63"/>
        <v>0</v>
      </c>
      <c r="BS304" s="5">
        <f t="shared" si="60"/>
        <v>0</v>
      </c>
      <c r="BV304" s="7"/>
      <c r="BW304" s="7"/>
    </row>
    <row r="305" spans="66:75" ht="15.75">
      <c r="BN305" s="7">
        <f t="shared" si="62"/>
        <v>45</v>
      </c>
      <c r="BO305" s="5">
        <f t="shared" si="56"/>
        <v>-3.5999999999999996</v>
      </c>
      <c r="BP305" s="13">
        <f t="shared" si="57"/>
        <v>-0.40499999999999997</v>
      </c>
      <c r="BQ305" s="13">
        <f t="shared" si="58"/>
        <v>-0.18000000000000008</v>
      </c>
      <c r="BR305" s="5">
        <f t="shared" si="63"/>
        <v>0</v>
      </c>
      <c r="BS305" s="5">
        <f t="shared" si="60"/>
        <v>0</v>
      </c>
      <c r="BV305" s="7"/>
      <c r="BW305" s="7"/>
    </row>
    <row r="306" spans="66:75" ht="15.75">
      <c r="BN306" s="7">
        <f t="shared" si="62"/>
        <v>46</v>
      </c>
      <c r="BO306" s="5">
        <f t="shared" si="56"/>
        <v>-3.7799999999999994</v>
      </c>
      <c r="BP306" s="13">
        <f t="shared" si="57"/>
        <v>-0.414</v>
      </c>
      <c r="BQ306" s="13">
        <f t="shared" si="58"/>
        <v>-0.16650000000000012</v>
      </c>
      <c r="BR306" s="5">
        <f t="shared" si="63"/>
        <v>0</v>
      </c>
      <c r="BS306" s="5">
        <f t="shared" si="60"/>
        <v>0</v>
      </c>
      <c r="BV306" s="7"/>
      <c r="BW306" s="7"/>
    </row>
    <row r="307" spans="66:75" ht="15.75">
      <c r="BN307" s="7">
        <f t="shared" si="62"/>
        <v>46</v>
      </c>
      <c r="BO307" s="5">
        <f t="shared" si="56"/>
        <v>-3.7799999999999994</v>
      </c>
      <c r="BP307" s="13">
        <f t="shared" si="57"/>
        <v>-0.414</v>
      </c>
      <c r="BQ307" s="13">
        <f t="shared" si="58"/>
        <v>-0.16650000000000012</v>
      </c>
      <c r="BR307" s="5">
        <f t="shared" si="63"/>
        <v>0</v>
      </c>
      <c r="BS307" s="5">
        <f t="shared" si="60"/>
        <v>0</v>
      </c>
      <c r="BV307" s="7"/>
      <c r="BW307" s="7"/>
    </row>
    <row r="308" spans="66:75" ht="15.75">
      <c r="BN308" s="7">
        <f t="shared" si="62"/>
        <v>46</v>
      </c>
      <c r="BO308" s="5">
        <f t="shared" si="56"/>
        <v>-3.7799999999999994</v>
      </c>
      <c r="BP308" s="13">
        <f t="shared" si="57"/>
        <v>-0.414</v>
      </c>
      <c r="BQ308" s="13">
        <f t="shared" si="58"/>
        <v>-0.16650000000000012</v>
      </c>
      <c r="BR308" s="5">
        <f t="shared" si="63"/>
        <v>0</v>
      </c>
      <c r="BS308" s="5">
        <f t="shared" si="60"/>
        <v>0</v>
      </c>
      <c r="BV308" s="7"/>
      <c r="BW308" s="7"/>
    </row>
    <row r="309" spans="66:75" ht="15.75">
      <c r="BN309" s="7">
        <f t="shared" si="62"/>
        <v>46</v>
      </c>
      <c r="BO309" s="5">
        <f t="shared" si="56"/>
        <v>-3.7799999999999994</v>
      </c>
      <c r="BP309" s="13">
        <f t="shared" si="57"/>
        <v>-0.414</v>
      </c>
      <c r="BQ309" s="13">
        <f t="shared" si="58"/>
        <v>-0.16650000000000012</v>
      </c>
      <c r="BR309" s="5">
        <f t="shared" si="63"/>
        <v>0</v>
      </c>
      <c r="BS309" s="5">
        <f t="shared" si="60"/>
        <v>0</v>
      </c>
      <c r="BV309" s="7"/>
      <c r="BW309" s="7"/>
    </row>
    <row r="310" spans="66:75" ht="15.75">
      <c r="BN310" s="7">
        <f t="shared" si="62"/>
        <v>47</v>
      </c>
      <c r="BO310" s="5">
        <f t="shared" si="56"/>
        <v>-3.959999999999999</v>
      </c>
      <c r="BP310" s="13">
        <f t="shared" si="57"/>
        <v>-0.42299999999999993</v>
      </c>
      <c r="BQ310" s="13">
        <f t="shared" si="58"/>
        <v>-0.15300000000000014</v>
      </c>
      <c r="BR310" s="5">
        <f t="shared" si="63"/>
        <v>0</v>
      </c>
      <c r="BS310" s="5">
        <f t="shared" si="60"/>
        <v>0</v>
      </c>
      <c r="BV310" s="7"/>
      <c r="BW310" s="7"/>
    </row>
    <row r="311" spans="66:75" ht="15.75">
      <c r="BN311" s="7">
        <f t="shared" si="62"/>
        <v>47</v>
      </c>
      <c r="BO311" s="5">
        <f t="shared" si="56"/>
        <v>-3.959999999999999</v>
      </c>
      <c r="BP311" s="13">
        <f t="shared" si="57"/>
        <v>-0.42299999999999993</v>
      </c>
      <c r="BQ311" s="13">
        <f t="shared" si="58"/>
        <v>-0.15300000000000014</v>
      </c>
      <c r="BR311" s="5">
        <f t="shared" si="63"/>
        <v>0</v>
      </c>
      <c r="BS311" s="5">
        <f t="shared" si="60"/>
        <v>0</v>
      </c>
      <c r="BV311" s="7"/>
      <c r="BW311" s="7"/>
    </row>
    <row r="312" spans="66:75" ht="15.75">
      <c r="BN312" s="7">
        <f t="shared" si="62"/>
        <v>47</v>
      </c>
      <c r="BO312" s="5">
        <f t="shared" si="56"/>
        <v>-3.959999999999999</v>
      </c>
      <c r="BP312" s="13">
        <f t="shared" si="57"/>
        <v>-0.42299999999999993</v>
      </c>
      <c r="BQ312" s="13">
        <f t="shared" si="58"/>
        <v>-0.15300000000000014</v>
      </c>
      <c r="BR312" s="5">
        <f t="shared" si="63"/>
        <v>0</v>
      </c>
      <c r="BS312" s="5">
        <f t="shared" si="60"/>
        <v>0</v>
      </c>
      <c r="BV312" s="7"/>
      <c r="BW312" s="7"/>
    </row>
    <row r="313" spans="66:75" ht="15.75">
      <c r="BN313" s="7">
        <f t="shared" si="62"/>
        <v>47</v>
      </c>
      <c r="BO313" s="5">
        <f t="shared" si="56"/>
        <v>-3.959999999999999</v>
      </c>
      <c r="BP313" s="13">
        <f t="shared" si="57"/>
        <v>-0.42299999999999993</v>
      </c>
      <c r="BQ313" s="13">
        <f t="shared" si="58"/>
        <v>-0.15300000000000014</v>
      </c>
      <c r="BR313" s="5">
        <f t="shared" si="63"/>
        <v>0</v>
      </c>
      <c r="BS313" s="5">
        <f t="shared" si="60"/>
        <v>0</v>
      </c>
      <c r="BV313" s="7"/>
      <c r="BW313" s="7"/>
    </row>
    <row r="314" spans="66:75" ht="15.75">
      <c r="BN314" s="7">
        <f t="shared" si="62"/>
        <v>48</v>
      </c>
      <c r="BO314" s="5">
        <f t="shared" si="56"/>
        <v>-4.140000000000001</v>
      </c>
      <c r="BP314" s="13">
        <f t="shared" si="57"/>
        <v>-0.43200000000000005</v>
      </c>
      <c r="BQ314" s="13">
        <f t="shared" si="58"/>
        <v>-0.1395</v>
      </c>
      <c r="BR314" s="5">
        <f t="shared" si="63"/>
        <v>0</v>
      </c>
      <c r="BS314" s="5">
        <f t="shared" si="60"/>
        <v>0</v>
      </c>
      <c r="BV314" s="7"/>
      <c r="BW314" s="7"/>
    </row>
    <row r="315" spans="66:75" ht="15.75">
      <c r="BN315" s="7">
        <f t="shared" si="62"/>
        <v>48</v>
      </c>
      <c r="BO315" s="5">
        <f aca="true" t="shared" si="64" ref="BO315:BO325">$C$2/2-$BP$118*BN315</f>
        <v>-4.140000000000001</v>
      </c>
      <c r="BP315" s="13">
        <f aca="true" t="shared" si="65" ref="BP315:BP325">(BO315-$C$2/2)/$C$4</f>
        <v>-0.43200000000000005</v>
      </c>
      <c r="BQ315" s="13">
        <f aca="true" t="shared" si="66" ref="BQ315:BQ325">IF($C$3=$C$4,$BW$43,(-$BN$7-BO315)/$BN$4)</f>
        <v>-0.1395</v>
      </c>
      <c r="BR315" s="5">
        <f t="shared" si="63"/>
        <v>0</v>
      </c>
      <c r="BS315" s="5">
        <f t="shared" si="60"/>
        <v>0</v>
      </c>
      <c r="BV315" s="7"/>
      <c r="BW315" s="7"/>
    </row>
    <row r="316" spans="66:75" ht="15.75">
      <c r="BN316" s="7">
        <f t="shared" si="62"/>
        <v>48</v>
      </c>
      <c r="BO316" s="5">
        <f t="shared" si="64"/>
        <v>-4.140000000000001</v>
      </c>
      <c r="BP316" s="13">
        <f t="shared" si="65"/>
        <v>-0.43200000000000005</v>
      </c>
      <c r="BQ316" s="13">
        <f t="shared" si="66"/>
        <v>-0.1395</v>
      </c>
      <c r="BR316" s="5">
        <f t="shared" si="63"/>
        <v>0</v>
      </c>
      <c r="BS316" s="5">
        <f t="shared" si="60"/>
        <v>0</v>
      </c>
      <c r="BV316" s="7"/>
      <c r="BW316" s="7"/>
    </row>
    <row r="317" spans="66:75" ht="15.75">
      <c r="BN317" s="7">
        <f t="shared" si="62"/>
        <v>48</v>
      </c>
      <c r="BO317" s="5">
        <f t="shared" si="64"/>
        <v>-4.140000000000001</v>
      </c>
      <c r="BP317" s="13">
        <f t="shared" si="65"/>
        <v>-0.43200000000000005</v>
      </c>
      <c r="BQ317" s="13">
        <f t="shared" si="66"/>
        <v>-0.1395</v>
      </c>
      <c r="BR317" s="5">
        <f t="shared" si="63"/>
        <v>0</v>
      </c>
      <c r="BS317" s="5">
        <f aca="true" t="shared" si="67" ref="BS317:BS325">IF($P$4=0,0,IF(BR317&lt;0,$C$6,IF(BR317=0,BO317,BQ317*BR317+BO317)))</f>
        <v>0</v>
      </c>
      <c r="BV317" s="7"/>
      <c r="BW317" s="7"/>
    </row>
    <row r="318" spans="66:75" ht="15.75">
      <c r="BN318" s="7">
        <f t="shared" si="62"/>
        <v>49</v>
      </c>
      <c r="BO318" s="5">
        <f t="shared" si="64"/>
        <v>-4.32</v>
      </c>
      <c r="BP318" s="13">
        <f t="shared" si="65"/>
        <v>-0.441</v>
      </c>
      <c r="BQ318" s="13">
        <f t="shared" si="66"/>
        <v>-0.12600000000000003</v>
      </c>
      <c r="BR318" s="5">
        <f t="shared" si="63"/>
        <v>0</v>
      </c>
      <c r="BS318" s="5">
        <f t="shared" si="67"/>
        <v>0</v>
      </c>
      <c r="BV318" s="7"/>
      <c r="BW318" s="7"/>
    </row>
    <row r="319" spans="66:75" ht="15.75">
      <c r="BN319" s="7">
        <f aca="true" t="shared" si="68" ref="BN319:BN325">BN315+1</f>
        <v>49</v>
      </c>
      <c r="BO319" s="5">
        <f t="shared" si="64"/>
        <v>-4.32</v>
      </c>
      <c r="BP319" s="13">
        <f t="shared" si="65"/>
        <v>-0.441</v>
      </c>
      <c r="BQ319" s="13">
        <f t="shared" si="66"/>
        <v>-0.12600000000000003</v>
      </c>
      <c r="BR319" s="5">
        <f aca="true" t="shared" si="69" ref="BR319:BR325">BR315</f>
        <v>0</v>
      </c>
      <c r="BS319" s="5">
        <f t="shared" si="67"/>
        <v>0</v>
      </c>
      <c r="BV319" s="7"/>
      <c r="BW319" s="7"/>
    </row>
    <row r="320" spans="66:75" ht="15.75">
      <c r="BN320" s="7">
        <f t="shared" si="68"/>
        <v>49</v>
      </c>
      <c r="BO320" s="5">
        <f t="shared" si="64"/>
        <v>-4.32</v>
      </c>
      <c r="BP320" s="13">
        <f t="shared" si="65"/>
        <v>-0.441</v>
      </c>
      <c r="BQ320" s="13">
        <f t="shared" si="66"/>
        <v>-0.12600000000000003</v>
      </c>
      <c r="BR320" s="5">
        <f t="shared" si="69"/>
        <v>0</v>
      </c>
      <c r="BS320" s="5">
        <f t="shared" si="67"/>
        <v>0</v>
      </c>
      <c r="BV320" s="7"/>
      <c r="BW320" s="7"/>
    </row>
    <row r="321" spans="66:75" ht="15.75">
      <c r="BN321" s="7">
        <f t="shared" si="68"/>
        <v>49</v>
      </c>
      <c r="BO321" s="5">
        <f t="shared" si="64"/>
        <v>-4.32</v>
      </c>
      <c r="BP321" s="13">
        <f t="shared" si="65"/>
        <v>-0.441</v>
      </c>
      <c r="BQ321" s="13">
        <f t="shared" si="66"/>
        <v>-0.12600000000000003</v>
      </c>
      <c r="BR321" s="5">
        <f t="shared" si="69"/>
        <v>0</v>
      </c>
      <c r="BS321" s="5">
        <f t="shared" si="67"/>
        <v>0</v>
      </c>
      <c r="BV321" s="7"/>
      <c r="BW321" s="7"/>
    </row>
    <row r="322" spans="66:75" ht="15.75">
      <c r="BN322" s="7">
        <f t="shared" si="68"/>
        <v>50</v>
      </c>
      <c r="BO322" s="5">
        <f t="shared" si="64"/>
        <v>-4.5</v>
      </c>
      <c r="BP322" s="13">
        <f t="shared" si="65"/>
        <v>-0.45</v>
      </c>
      <c r="BQ322" s="13">
        <f t="shared" si="66"/>
        <v>-0.11250000000000006</v>
      </c>
      <c r="BR322" s="5">
        <f t="shared" si="69"/>
        <v>0</v>
      </c>
      <c r="BS322" s="5">
        <f t="shared" si="67"/>
        <v>0</v>
      </c>
      <c r="BV322" s="7"/>
      <c r="BW322" s="7"/>
    </row>
    <row r="323" spans="66:75" ht="15.75">
      <c r="BN323" s="7">
        <f t="shared" si="68"/>
        <v>50</v>
      </c>
      <c r="BO323" s="5">
        <f t="shared" si="64"/>
        <v>-4.5</v>
      </c>
      <c r="BP323" s="13">
        <f t="shared" si="65"/>
        <v>-0.45</v>
      </c>
      <c r="BQ323" s="13">
        <f t="shared" si="66"/>
        <v>-0.11250000000000006</v>
      </c>
      <c r="BR323" s="5">
        <f t="shared" si="69"/>
        <v>0</v>
      </c>
      <c r="BS323" s="5">
        <f t="shared" si="67"/>
        <v>0</v>
      </c>
      <c r="BV323" s="7"/>
      <c r="BW323" s="7"/>
    </row>
    <row r="324" spans="66:75" ht="15.75">
      <c r="BN324" s="7">
        <f t="shared" si="68"/>
        <v>50</v>
      </c>
      <c r="BO324" s="5">
        <f t="shared" si="64"/>
        <v>-4.5</v>
      </c>
      <c r="BP324" s="13">
        <f t="shared" si="65"/>
        <v>-0.45</v>
      </c>
      <c r="BQ324" s="13">
        <f t="shared" si="66"/>
        <v>-0.11250000000000006</v>
      </c>
      <c r="BR324" s="5">
        <f t="shared" si="69"/>
        <v>0</v>
      </c>
      <c r="BS324" s="5">
        <f t="shared" si="67"/>
        <v>0</v>
      </c>
      <c r="BV324" s="7"/>
      <c r="BW324" s="7"/>
    </row>
    <row r="325" spans="66:75" ht="15.75">
      <c r="BN325" s="7">
        <f t="shared" si="68"/>
        <v>50</v>
      </c>
      <c r="BO325" s="5">
        <f t="shared" si="64"/>
        <v>-4.5</v>
      </c>
      <c r="BP325" s="13">
        <f t="shared" si="65"/>
        <v>-0.45</v>
      </c>
      <c r="BQ325" s="13">
        <f t="shared" si="66"/>
        <v>-0.11250000000000006</v>
      </c>
      <c r="BR325" s="5">
        <f t="shared" si="69"/>
        <v>0</v>
      </c>
      <c r="BS325" s="5">
        <f t="shared" si="67"/>
        <v>0</v>
      </c>
      <c r="BV325" s="7"/>
      <c r="BW325" s="7"/>
    </row>
    <row r="326" spans="66:75" ht="15.75">
      <c r="BN326" s="7"/>
      <c r="BO326" s="5"/>
      <c r="BP326" s="13"/>
      <c r="BQ326" s="13"/>
      <c r="BR326" s="5">
        <f>MAX(BR122:BR325)</f>
        <v>0</v>
      </c>
      <c r="BS326" s="5">
        <f>MAX(BS122:BS325)</f>
        <v>0</v>
      </c>
      <c r="BT326" s="29" t="s">
        <v>56</v>
      </c>
      <c r="BV326" s="7"/>
      <c r="BW326" s="7"/>
    </row>
    <row r="327" spans="66:75" ht="15.75">
      <c r="BN327" s="7"/>
      <c r="BO327" s="5"/>
      <c r="BP327" s="13"/>
      <c r="BQ327" s="13"/>
      <c r="BR327" s="5">
        <f>MIN(BR122:BR325)</f>
        <v>0</v>
      </c>
      <c r="BS327" s="5">
        <f>MIN(BS122:BS325)</f>
        <v>0</v>
      </c>
      <c r="BT327" s="29" t="s">
        <v>57</v>
      </c>
      <c r="BV327" s="7"/>
      <c r="BW327" s="7"/>
    </row>
    <row r="328" spans="66:75" ht="15.75">
      <c r="BN328" s="7"/>
      <c r="BO328" s="5"/>
      <c r="BP328" s="13"/>
      <c r="BQ328" s="13"/>
      <c r="BR328" s="10">
        <f>MAX(BR326:BR327)</f>
        <v>0</v>
      </c>
      <c r="BS328" s="10">
        <f>MAX(BS326:BS327)</f>
        <v>0</v>
      </c>
      <c r="BV328" s="7"/>
      <c r="BW328" s="7"/>
    </row>
    <row r="329" spans="66:75" ht="15.75">
      <c r="BN329" s="7"/>
      <c r="BO329" s="5"/>
      <c r="BP329" s="13"/>
      <c r="BQ329" s="13"/>
      <c r="BR329" s="5"/>
      <c r="BS329" s="5"/>
      <c r="BV329" s="7"/>
      <c r="BW329" s="7"/>
    </row>
    <row r="330" spans="66:75" ht="15.75">
      <c r="BN330" s="7"/>
      <c r="BV330" s="7"/>
      <c r="BW330" s="7"/>
    </row>
    <row r="331" spans="66:75" ht="15.75">
      <c r="BN331" s="7"/>
      <c r="BV331" s="7"/>
      <c r="BW331" s="7"/>
    </row>
    <row r="332" spans="66:75" ht="15.75">
      <c r="BN332" s="7"/>
      <c r="BV332" s="7"/>
      <c r="BW332" s="7"/>
    </row>
    <row r="333" spans="66:75" ht="15.75">
      <c r="BN333" s="7"/>
      <c r="BV333" s="7"/>
      <c r="BW333" s="7"/>
    </row>
    <row r="334" spans="66:75" ht="15.75">
      <c r="BN334" s="7"/>
      <c r="BV334" s="7"/>
      <c r="BW334" s="7"/>
    </row>
    <row r="335" spans="66:75" ht="15.75">
      <c r="BN335" s="7"/>
      <c r="BV335" s="7"/>
      <c r="BW335" s="7"/>
    </row>
    <row r="336" spans="66:75" ht="15.75">
      <c r="BN336" s="7"/>
      <c r="BV336" s="7"/>
      <c r="BW336" s="7"/>
    </row>
    <row r="337" spans="66:75" ht="15.75">
      <c r="BN337" s="7"/>
      <c r="BV337" s="7"/>
      <c r="BW337" s="7"/>
    </row>
    <row r="338" spans="66:75" ht="15.75">
      <c r="BN338" s="7"/>
      <c r="BV338" s="7"/>
      <c r="BW338" s="7"/>
    </row>
    <row r="339" spans="66:75" ht="15.75">
      <c r="BN339" s="7"/>
      <c r="BV339" s="7"/>
      <c r="BW339" s="7"/>
    </row>
    <row r="340" spans="66:75" ht="15.75">
      <c r="BN340" s="7"/>
      <c r="BV340" s="7"/>
      <c r="BW340" s="7"/>
    </row>
    <row r="341" spans="66:75" ht="15.75">
      <c r="BN341" s="7"/>
      <c r="BV341" s="7"/>
      <c r="BW341" s="7"/>
    </row>
    <row r="342" spans="66:75" ht="15.75">
      <c r="BN342" s="7"/>
      <c r="BV342" s="7"/>
      <c r="BW342" s="7"/>
    </row>
    <row r="343" spans="74:75" ht="15.75">
      <c r="BV343" s="7"/>
      <c r="BW343" s="7"/>
    </row>
    <row r="344" spans="74:75" ht="15.75">
      <c r="BV344" s="7"/>
      <c r="BW344" s="7"/>
    </row>
    <row r="345" spans="74:75" ht="15.75">
      <c r="BV345" s="7"/>
      <c r="BW345" s="7"/>
    </row>
    <row r="346" spans="74:75" ht="15.75">
      <c r="BV346" s="7"/>
      <c r="BW346" s="7"/>
    </row>
    <row r="347" spans="74:75" ht="15.75">
      <c r="BV347" s="7"/>
      <c r="BW347" s="7"/>
    </row>
    <row r="348" spans="74:75" ht="15.75">
      <c r="BV348" s="7"/>
      <c r="BW348" s="7"/>
    </row>
    <row r="349" spans="74:75" ht="15.75">
      <c r="BV349" s="7"/>
      <c r="BW349" s="7"/>
    </row>
    <row r="350" spans="74:75" ht="15.75">
      <c r="BV350" s="7"/>
      <c r="BW350" s="7"/>
    </row>
    <row r="351" spans="74:75" ht="15.75">
      <c r="BV351" s="7"/>
      <c r="BW351" s="7"/>
    </row>
    <row r="352" spans="74:75" ht="15.75">
      <c r="BV352" s="7"/>
      <c r="BW352" s="7"/>
    </row>
    <row r="353" spans="74:75" ht="15.75">
      <c r="BV353" s="7"/>
      <c r="BW353" s="7"/>
    </row>
    <row r="354" spans="74:75" ht="15.75">
      <c r="BV354" s="7"/>
      <c r="BW354" s="7"/>
    </row>
    <row r="355" spans="74:75" ht="15.75">
      <c r="BV355" s="7"/>
      <c r="BW355" s="7"/>
    </row>
    <row r="356" spans="74:75" ht="15.75">
      <c r="BV356" s="7"/>
      <c r="BW356" s="7"/>
    </row>
    <row r="357" spans="74:75" ht="15.75">
      <c r="BV357" s="7"/>
      <c r="BW357" s="7"/>
    </row>
    <row r="358" spans="74:75" ht="15.75">
      <c r="BV358" s="7"/>
      <c r="BW358" s="7"/>
    </row>
    <row r="359" spans="74:75" ht="15.75">
      <c r="BV359" s="7"/>
      <c r="BW359" s="7"/>
    </row>
    <row r="360" spans="74:75" ht="15.75">
      <c r="BV360" s="7"/>
      <c r="BW360" s="7"/>
    </row>
    <row r="361" spans="74:75" ht="15.75">
      <c r="BV361" s="7"/>
      <c r="BW361" s="7"/>
    </row>
    <row r="362" spans="74:75" ht="15.75">
      <c r="BV362" s="7"/>
      <c r="BW362" s="7"/>
    </row>
    <row r="363" spans="74:75" ht="15.75">
      <c r="BV363" s="7"/>
      <c r="BW363" s="7"/>
    </row>
    <row r="364" spans="74:75" ht="15.75">
      <c r="BV364" s="7"/>
      <c r="BW364" s="7"/>
    </row>
    <row r="365" spans="74:75" ht="15.75">
      <c r="BV365" s="7"/>
      <c r="BW365" s="7"/>
    </row>
    <row r="366" spans="74:75" ht="15.75">
      <c r="BV366" s="7"/>
      <c r="BW366" s="7"/>
    </row>
    <row r="367" spans="74:75" ht="15.75">
      <c r="BV367" s="7"/>
      <c r="BW367" s="7"/>
    </row>
    <row r="368" spans="74:75" ht="15.75">
      <c r="BV368" s="7"/>
      <c r="BW368" s="7"/>
    </row>
    <row r="369" spans="74:75" ht="15.75">
      <c r="BV369" s="7"/>
      <c r="BW369" s="7"/>
    </row>
    <row r="370" spans="74:75" ht="15.75">
      <c r="BV370" s="7"/>
      <c r="BW370" s="7"/>
    </row>
    <row r="371" spans="74:75" ht="15.75">
      <c r="BV371" s="7"/>
      <c r="BW371" s="7"/>
    </row>
    <row r="372" spans="74:75" ht="15.75">
      <c r="BV372" s="7"/>
      <c r="BW372" s="7"/>
    </row>
    <row r="373" spans="74:75" ht="15.75">
      <c r="BV373" s="7"/>
      <c r="BW373" s="7"/>
    </row>
    <row r="374" spans="74:75" ht="15.75">
      <c r="BV374" s="7"/>
      <c r="BW374" s="7"/>
    </row>
    <row r="375" spans="74:75" ht="15.75">
      <c r="BV375" s="7"/>
      <c r="BW375" s="7"/>
    </row>
    <row r="376" spans="74:75" ht="15.75">
      <c r="BV376" s="7"/>
      <c r="BW376" s="7"/>
    </row>
    <row r="377" spans="74:75" ht="15.75">
      <c r="BV377" s="7"/>
      <c r="BW377" s="7"/>
    </row>
    <row r="378" spans="74:75" ht="15.75">
      <c r="BV378" s="7"/>
      <c r="BW378" s="7"/>
    </row>
    <row r="379" spans="74:75" ht="15.75">
      <c r="BV379" s="7"/>
      <c r="BW379" s="7"/>
    </row>
    <row r="380" spans="74:75" ht="15.75">
      <c r="BV380" s="7"/>
      <c r="BW380" s="7"/>
    </row>
    <row r="381" spans="74:75" ht="15.75">
      <c r="BV381" s="7"/>
      <c r="BW381" s="7"/>
    </row>
    <row r="382" spans="74:75" ht="15.75">
      <c r="BV382" s="7"/>
      <c r="BW382" s="7"/>
    </row>
    <row r="383" spans="74:75" ht="15.75">
      <c r="BV383" s="7"/>
      <c r="BW383" s="7"/>
    </row>
    <row r="384" spans="74:75" ht="15.75">
      <c r="BV384" s="7"/>
      <c r="BW384" s="7"/>
    </row>
    <row r="385" spans="74:75" ht="15.75">
      <c r="BV385" s="7"/>
      <c r="BW385" s="7"/>
    </row>
    <row r="386" spans="74:75" ht="15.75">
      <c r="BV386" s="7"/>
      <c r="BW386" s="7"/>
    </row>
    <row r="387" spans="74:75" ht="15.75">
      <c r="BV387" s="7"/>
      <c r="BW387" s="7"/>
    </row>
    <row r="388" spans="74:75" ht="15.75">
      <c r="BV388" s="7"/>
      <c r="BW388" s="7"/>
    </row>
    <row r="389" spans="74:75" ht="15.75">
      <c r="BV389" s="7"/>
      <c r="BW389" s="7"/>
    </row>
    <row r="390" spans="74:75" ht="15.75">
      <c r="BV390" s="7"/>
      <c r="BW390" s="7"/>
    </row>
    <row r="391" spans="74:75" ht="15.75">
      <c r="BV391" s="7"/>
      <c r="BW391" s="7"/>
    </row>
    <row r="392" spans="74:75" ht="15.75">
      <c r="BV392" s="7"/>
      <c r="BW392" s="7"/>
    </row>
    <row r="393" spans="74:75" ht="15.75">
      <c r="BV393" s="7"/>
      <c r="BW393" s="7"/>
    </row>
    <row r="394" spans="74:75" ht="15.75">
      <c r="BV394" s="7"/>
      <c r="BW394" s="7"/>
    </row>
    <row r="395" spans="74:75" ht="15.75">
      <c r="BV395" s="7"/>
      <c r="BW395" s="7"/>
    </row>
    <row r="396" spans="74:75" ht="15.75">
      <c r="BV396" s="7"/>
      <c r="BW396" s="7"/>
    </row>
    <row r="397" spans="74:75" ht="15.75">
      <c r="BV397" s="7"/>
      <c r="BW397" s="7"/>
    </row>
    <row r="398" spans="74:75" ht="15.75">
      <c r="BV398" s="7"/>
      <c r="BW398" s="7"/>
    </row>
    <row r="399" spans="74:75" ht="15.75">
      <c r="BV399" s="7"/>
      <c r="BW399" s="7"/>
    </row>
    <row r="400" spans="74:75" ht="15.75">
      <c r="BV400" s="7"/>
      <c r="BW400" s="7"/>
    </row>
    <row r="401" spans="74:75" ht="15.75">
      <c r="BV401" s="7"/>
      <c r="BW401" s="7"/>
    </row>
    <row r="402" spans="74:75" ht="15.75">
      <c r="BV402" s="7"/>
      <c r="BW402" s="7"/>
    </row>
    <row r="403" spans="74:75" ht="15.75">
      <c r="BV403" s="7"/>
      <c r="BW403" s="7"/>
    </row>
    <row r="404" spans="74:75" ht="15.75">
      <c r="BV404" s="7"/>
      <c r="BW404" s="7"/>
    </row>
    <row r="405" spans="74:75" ht="15.75">
      <c r="BV405" s="7"/>
      <c r="BW405" s="7"/>
    </row>
    <row r="406" spans="74:75" ht="15.75">
      <c r="BV406" s="7"/>
      <c r="BW406" s="7"/>
    </row>
    <row r="407" spans="74:75" ht="15.75">
      <c r="BV407" s="7"/>
      <c r="BW407" s="7"/>
    </row>
    <row r="408" spans="74:75" ht="15.75">
      <c r="BV408" s="7"/>
      <c r="BW408" s="7"/>
    </row>
    <row r="409" spans="74:75" ht="15.75">
      <c r="BV409" s="7"/>
      <c r="BW409" s="7"/>
    </row>
    <row r="410" spans="74:75" ht="15.75">
      <c r="BV410" s="7"/>
      <c r="BW410" s="7"/>
    </row>
    <row r="411" spans="74:75" ht="15.75">
      <c r="BV411" s="7"/>
      <c r="BW411" s="7"/>
    </row>
    <row r="412" spans="74:75" ht="15.75">
      <c r="BV412" s="7"/>
      <c r="BW412" s="7"/>
    </row>
    <row r="413" spans="74:75" ht="15.75">
      <c r="BV413" s="7"/>
      <c r="BW413" s="7"/>
    </row>
    <row r="414" spans="74:75" ht="15.75">
      <c r="BV414" s="7"/>
      <c r="BW414" s="7"/>
    </row>
    <row r="415" spans="74:75" ht="15.75">
      <c r="BV415" s="7"/>
      <c r="BW415" s="7"/>
    </row>
    <row r="416" spans="74:75" ht="15.75">
      <c r="BV416" s="7"/>
      <c r="BW416" s="7"/>
    </row>
    <row r="417" spans="74:75" ht="15.75">
      <c r="BV417" s="7"/>
      <c r="BW417" s="7"/>
    </row>
    <row r="418" spans="74:75" ht="15.75">
      <c r="BV418" s="7"/>
      <c r="BW418" s="7"/>
    </row>
    <row r="419" spans="74:75" ht="15.75">
      <c r="BV419" s="7"/>
      <c r="BW419" s="7"/>
    </row>
    <row r="420" spans="74:75" ht="15.75">
      <c r="BV420" s="7"/>
      <c r="BW420" s="7"/>
    </row>
    <row r="421" spans="74:75" ht="15.75">
      <c r="BV421" s="7"/>
      <c r="BW421" s="7"/>
    </row>
    <row r="422" spans="74:75" ht="15.75">
      <c r="BV422" s="7"/>
      <c r="BW422" s="7"/>
    </row>
    <row r="423" spans="74:75" ht="15.75">
      <c r="BV423" s="7"/>
      <c r="BW423" s="7"/>
    </row>
    <row r="424" spans="74:75" ht="15.75">
      <c r="BV424" s="7"/>
      <c r="BW424" s="7"/>
    </row>
    <row r="425" spans="74:75" ht="15.75">
      <c r="BV425" s="7"/>
      <c r="BW425" s="7"/>
    </row>
    <row r="426" spans="74:75" ht="15.75">
      <c r="BV426" s="7"/>
      <c r="BW426" s="7"/>
    </row>
    <row r="427" spans="74:75" ht="15.75">
      <c r="BV427" s="7"/>
      <c r="BW427" s="7"/>
    </row>
    <row r="428" spans="74:75" ht="15.75">
      <c r="BV428" s="7"/>
      <c r="BW428" s="7"/>
    </row>
    <row r="429" spans="74:75" ht="15.75">
      <c r="BV429" s="7"/>
      <c r="BW429" s="7"/>
    </row>
    <row r="430" spans="74:75" ht="15.75">
      <c r="BV430" s="7"/>
      <c r="BW430" s="7"/>
    </row>
    <row r="431" spans="74:75" ht="15.75">
      <c r="BV431" s="7"/>
      <c r="BW431" s="7"/>
    </row>
    <row r="432" spans="74:75" ht="15.75">
      <c r="BV432" s="7"/>
      <c r="BW432" s="7"/>
    </row>
    <row r="433" spans="74:75" ht="15.75">
      <c r="BV433" s="7"/>
      <c r="BW433" s="7"/>
    </row>
    <row r="434" spans="74:75" ht="15.75">
      <c r="BV434" s="7"/>
      <c r="BW434" s="7"/>
    </row>
    <row r="435" spans="74:75" ht="15.75">
      <c r="BV435" s="7"/>
      <c r="BW435" s="7"/>
    </row>
    <row r="436" spans="74:75" ht="15.75">
      <c r="BV436" s="7"/>
      <c r="BW436" s="7"/>
    </row>
    <row r="437" spans="74:75" ht="15.75">
      <c r="BV437" s="7"/>
      <c r="BW437" s="7"/>
    </row>
    <row r="438" spans="74:75" ht="15.75">
      <c r="BV438" s="7"/>
      <c r="BW438" s="7"/>
    </row>
    <row r="439" spans="74:75" ht="15.75">
      <c r="BV439" s="7"/>
      <c r="BW439" s="7"/>
    </row>
    <row r="440" spans="74:75" ht="15.75">
      <c r="BV440" s="7"/>
      <c r="BW440" s="7"/>
    </row>
    <row r="441" spans="74:75" ht="15.75">
      <c r="BV441" s="7"/>
      <c r="BW441" s="7"/>
    </row>
    <row r="442" spans="74:75" ht="15.75">
      <c r="BV442" s="7"/>
      <c r="BW442" s="7"/>
    </row>
    <row r="443" spans="74:75" ht="15.75">
      <c r="BV443" s="7"/>
      <c r="BW443" s="7"/>
    </row>
    <row r="444" spans="74:75" ht="15.75">
      <c r="BV444" s="7"/>
      <c r="BW444" s="7"/>
    </row>
    <row r="445" spans="74:75" ht="15.75">
      <c r="BV445" s="7"/>
      <c r="BW445" s="7"/>
    </row>
    <row r="446" spans="74:75" ht="15.75">
      <c r="BV446" s="7"/>
      <c r="BW446" s="7"/>
    </row>
    <row r="447" spans="74:75" ht="15.75">
      <c r="BV447" s="7"/>
      <c r="BW447" s="7"/>
    </row>
    <row r="448" spans="74:75" ht="15.75">
      <c r="BV448" s="7"/>
      <c r="BW448" s="7"/>
    </row>
    <row r="449" spans="74:75" ht="15.75">
      <c r="BV449" s="7"/>
      <c r="BW449" s="7"/>
    </row>
    <row r="450" spans="74:75" ht="15.75">
      <c r="BV450" s="7"/>
      <c r="BW450" s="7"/>
    </row>
    <row r="451" spans="74:75" ht="15.75">
      <c r="BV451" s="7"/>
      <c r="BW451" s="7"/>
    </row>
    <row r="452" spans="74:75" ht="15.75">
      <c r="BV452" s="7"/>
      <c r="BW452" s="7"/>
    </row>
    <row r="453" spans="74:75" ht="15.75">
      <c r="BV453" s="7"/>
      <c r="BW453" s="7"/>
    </row>
    <row r="454" spans="74:75" ht="15.75">
      <c r="BV454" s="7"/>
      <c r="BW454" s="7"/>
    </row>
    <row r="455" spans="74:75" ht="15.75">
      <c r="BV455" s="7"/>
      <c r="BW455" s="7"/>
    </row>
    <row r="456" spans="74:75" ht="15.75">
      <c r="BV456" s="7"/>
      <c r="BW456" s="7"/>
    </row>
    <row r="457" spans="74:75" ht="15.75">
      <c r="BV457" s="7"/>
      <c r="BW457" s="7"/>
    </row>
    <row r="458" spans="74:75" ht="15.75">
      <c r="BV458" s="7"/>
      <c r="BW458" s="7"/>
    </row>
    <row r="459" spans="74:75" ht="15.75">
      <c r="BV459" s="7"/>
      <c r="BW459" s="7"/>
    </row>
    <row r="460" spans="74:75" ht="15.75">
      <c r="BV460" s="7"/>
      <c r="BW460" s="7"/>
    </row>
    <row r="461" spans="74:75" ht="15.75">
      <c r="BV461" s="7"/>
      <c r="BW461" s="7"/>
    </row>
    <row r="462" spans="74:75" ht="15.75">
      <c r="BV462" s="7"/>
      <c r="BW462" s="7"/>
    </row>
    <row r="463" spans="74:75" ht="15.75">
      <c r="BV463" s="7"/>
      <c r="BW463" s="7"/>
    </row>
    <row r="464" spans="74:75" ht="15.75">
      <c r="BV464" s="7"/>
      <c r="BW464" s="7"/>
    </row>
    <row r="465" spans="74:75" ht="15.75">
      <c r="BV465" s="7"/>
      <c r="BW465" s="7"/>
    </row>
    <row r="466" spans="74:75" ht="15.75">
      <c r="BV466" s="7"/>
      <c r="BW466" s="7"/>
    </row>
    <row r="467" spans="74:75" ht="15.75">
      <c r="BV467" s="7"/>
      <c r="BW467" s="7"/>
    </row>
    <row r="468" spans="74:75" ht="15.75">
      <c r="BV468" s="7"/>
      <c r="BW468" s="7"/>
    </row>
    <row r="469" spans="74:75" ht="15.75">
      <c r="BV469" s="7"/>
      <c r="BW469" s="7"/>
    </row>
    <row r="470" spans="74:75" ht="15.75">
      <c r="BV470" s="7"/>
      <c r="BW470" s="7"/>
    </row>
    <row r="471" spans="74:75" ht="15.75">
      <c r="BV471" s="7"/>
      <c r="BW471" s="7"/>
    </row>
    <row r="472" spans="74:75" ht="15.75">
      <c r="BV472" s="7"/>
      <c r="BW472" s="7"/>
    </row>
    <row r="473" spans="74:75" ht="15.75">
      <c r="BV473" s="7"/>
      <c r="BW473" s="7"/>
    </row>
    <row r="474" spans="74:75" ht="15.75">
      <c r="BV474" s="7"/>
      <c r="BW474" s="7"/>
    </row>
    <row r="475" spans="74:75" ht="15.75">
      <c r="BV475" s="7"/>
      <c r="BW475" s="7"/>
    </row>
    <row r="476" spans="74:75" ht="15.75">
      <c r="BV476" s="7"/>
      <c r="BW476" s="7"/>
    </row>
    <row r="477" spans="74:75" ht="15.75">
      <c r="BV477" s="7"/>
      <c r="BW477" s="7"/>
    </row>
    <row r="478" spans="74:75" ht="15.75">
      <c r="BV478" s="7"/>
      <c r="BW478" s="7"/>
    </row>
    <row r="479" spans="74:75" ht="15.75">
      <c r="BV479" s="7"/>
      <c r="BW479" s="7"/>
    </row>
    <row r="480" spans="74:75" ht="15.75">
      <c r="BV480" s="7"/>
      <c r="BW480" s="7"/>
    </row>
    <row r="481" spans="74:75" ht="15.75">
      <c r="BV481" s="7"/>
      <c r="BW481" s="7"/>
    </row>
    <row r="482" spans="74:75" ht="15.75">
      <c r="BV482" s="7"/>
      <c r="BW482" s="7"/>
    </row>
    <row r="483" spans="74:75" ht="15.75">
      <c r="BV483" s="7"/>
      <c r="BW483" s="7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B1:CB483"/>
  <sheetViews>
    <sheetView showGridLines="0" showRowColHeaders="0" workbookViewId="0" topLeftCell="A1">
      <selection activeCell="I25" sqref="I25"/>
    </sheetView>
  </sheetViews>
  <sheetFormatPr defaultColWidth="9.140625" defaultRowHeight="12.75"/>
  <cols>
    <col min="1" max="1" width="1.421875" style="1" customWidth="1"/>
    <col min="2" max="2" width="20.7109375" style="1" customWidth="1"/>
    <col min="3" max="3" width="5.57421875" style="1" bestFit="1" customWidth="1"/>
    <col min="4" max="4" width="3.7109375" style="1" bestFit="1" customWidth="1"/>
    <col min="5" max="5" width="9.57421875" style="1" customWidth="1"/>
    <col min="6" max="6" width="1.421875" style="1" customWidth="1"/>
    <col min="7" max="7" width="19.00390625" style="1" bestFit="1" customWidth="1"/>
    <col min="8" max="8" width="9.421875" style="1" customWidth="1"/>
    <col min="9" max="9" width="1.421875" style="1" customWidth="1"/>
    <col min="10" max="10" width="19.7109375" style="1" customWidth="1"/>
    <col min="11" max="11" width="6.140625" style="1" bestFit="1" customWidth="1"/>
    <col min="12" max="12" width="9.421875" style="1" customWidth="1"/>
    <col min="13" max="13" width="1.421875" style="1" customWidth="1"/>
    <col min="14" max="14" width="19.57421875" style="1" bestFit="1" customWidth="1"/>
    <col min="15" max="15" width="5.00390625" style="1" customWidth="1"/>
    <col min="16" max="16" width="9.421875" style="1" bestFit="1" customWidth="1"/>
    <col min="17" max="64" width="9.140625" style="1" customWidth="1"/>
    <col min="65" max="65" width="14.7109375" style="1" bestFit="1" customWidth="1"/>
    <col min="66" max="66" width="16.8515625" style="1" bestFit="1" customWidth="1"/>
    <col min="67" max="67" width="14.421875" style="1" bestFit="1" customWidth="1"/>
    <col min="68" max="68" width="18.7109375" style="1" bestFit="1" customWidth="1"/>
    <col min="69" max="69" width="13.28125" style="1" bestFit="1" customWidth="1"/>
    <col min="70" max="70" width="16.00390625" style="1" bestFit="1" customWidth="1"/>
    <col min="71" max="71" width="9.28125" style="1" bestFit="1" customWidth="1"/>
    <col min="72" max="72" width="16.00390625" style="1" bestFit="1" customWidth="1"/>
    <col min="73" max="73" width="9.28125" style="1" bestFit="1" customWidth="1"/>
    <col min="74" max="74" width="12.140625" style="1" bestFit="1" customWidth="1"/>
    <col min="75" max="75" width="13.8515625" style="1" bestFit="1" customWidth="1"/>
    <col min="76" max="76" width="9.140625" style="1" customWidth="1"/>
    <col min="77" max="78" width="9.28125" style="1" bestFit="1" customWidth="1"/>
    <col min="79" max="80" width="9.8515625" style="1" bestFit="1" customWidth="1"/>
    <col min="81" max="16384" width="9.140625" style="1" customWidth="1"/>
  </cols>
  <sheetData>
    <row r="1" spans="5:16" ht="7.5" customHeight="1">
      <c r="E1" s="55"/>
      <c r="F1" s="56"/>
      <c r="G1" s="56"/>
      <c r="H1" s="55"/>
      <c r="I1" s="56"/>
      <c r="J1" s="56"/>
      <c r="K1" s="56"/>
      <c r="L1" s="56"/>
      <c r="M1" s="56"/>
      <c r="N1" s="56"/>
      <c r="O1" s="56"/>
      <c r="P1" s="56"/>
    </row>
    <row r="2" spans="2:64" ht="16.5" customHeight="1">
      <c r="B2" s="14" t="s">
        <v>41</v>
      </c>
      <c r="C2" s="72">
        <f>E2/10</f>
        <v>1</v>
      </c>
      <c r="D2" s="14" t="s">
        <v>0</v>
      </c>
      <c r="E2" s="52">
        <v>10</v>
      </c>
      <c r="G2" s="18" t="s">
        <v>42</v>
      </c>
      <c r="H2" s="52">
        <v>0</v>
      </c>
      <c r="J2" s="82" t="s">
        <v>86</v>
      </c>
      <c r="K2" s="83" t="str">
        <f>IF(BV117=1,"Ja","Nee")</f>
        <v>Ja</v>
      </c>
      <c r="L2" s="52"/>
      <c r="N2" s="52"/>
      <c r="O2" s="52"/>
      <c r="P2" s="5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2:67" ht="16.5" customHeight="1">
      <c r="B3" s="22" t="s">
        <v>28</v>
      </c>
      <c r="C3" s="58">
        <f>BO114</f>
        <v>2.678571428571429</v>
      </c>
      <c r="D3" s="22" t="s">
        <v>0</v>
      </c>
      <c r="E3" s="52"/>
      <c r="G3" s="15" t="s">
        <v>43</v>
      </c>
      <c r="H3" s="52">
        <v>0</v>
      </c>
      <c r="J3" s="77"/>
      <c r="K3" s="77"/>
      <c r="L3" s="52"/>
      <c r="N3" s="52"/>
      <c r="O3" s="52"/>
      <c r="P3" s="5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" t="s">
        <v>55</v>
      </c>
      <c r="BN3" s="5">
        <v>3</v>
      </c>
      <c r="BO3" s="1" t="s">
        <v>0</v>
      </c>
    </row>
    <row r="4" spans="2:67" ht="16.5" customHeight="1">
      <c r="B4" s="16" t="s">
        <v>29</v>
      </c>
      <c r="C4" s="66">
        <v>20</v>
      </c>
      <c r="D4" s="16" t="s">
        <v>0</v>
      </c>
      <c r="E4" s="52"/>
      <c r="G4" s="19" t="s">
        <v>44</v>
      </c>
      <c r="H4" s="52">
        <v>0</v>
      </c>
      <c r="J4" s="75" t="s">
        <v>71</v>
      </c>
      <c r="K4" s="76"/>
      <c r="L4" s="4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1" t="s">
        <v>54</v>
      </c>
      <c r="BN4" s="5">
        <f>BN3</f>
        <v>3</v>
      </c>
      <c r="BO4" s="1" t="s">
        <v>0</v>
      </c>
    </row>
    <row r="5" spans="2:14" ht="16.5" customHeight="1">
      <c r="B5" s="16" t="s">
        <v>40</v>
      </c>
      <c r="C5" s="27" t="str">
        <f>IF(E5=0,"punt","pijl")</f>
        <v>punt</v>
      </c>
      <c r="D5" s="28"/>
      <c r="E5" s="52">
        <v>0</v>
      </c>
      <c r="G5" s="20"/>
      <c r="H5" s="52"/>
      <c r="J5" s="44" t="s">
        <v>72</v>
      </c>
      <c r="K5" s="50"/>
      <c r="L5" s="45">
        <f>IF(ISERROR(BN4),"---",BN4)</f>
        <v>3</v>
      </c>
      <c r="M5" s="48"/>
      <c r="N5" s="49" t="s">
        <v>0</v>
      </c>
    </row>
    <row r="6" spans="2:66" ht="15.75">
      <c r="B6" s="16" t="str">
        <f>IF(E5=0,"afstand tot hoofdas:","voorwerpgrootte LL'")</f>
        <v>afstand tot hoofdas:</v>
      </c>
      <c r="C6" s="26">
        <f>E6/20</f>
        <v>1</v>
      </c>
      <c r="D6" s="16" t="s">
        <v>0</v>
      </c>
      <c r="E6" s="52">
        <v>20</v>
      </c>
      <c r="G6" s="21" t="s">
        <v>48</v>
      </c>
      <c r="H6" s="52">
        <v>1</v>
      </c>
      <c r="J6" s="46" t="s">
        <v>73</v>
      </c>
      <c r="K6" s="51"/>
      <c r="L6" s="71">
        <f>ABS(BN7)</f>
        <v>0.15</v>
      </c>
      <c r="M6" s="48"/>
      <c r="N6" s="49" t="s">
        <v>0</v>
      </c>
      <c r="BM6" s="1" t="s">
        <v>2</v>
      </c>
      <c r="BN6" s="12">
        <f>BN4/C4</f>
        <v>0.15</v>
      </c>
    </row>
    <row r="7" spans="14:66" ht="15.75">
      <c r="N7" s="4"/>
      <c r="BM7" s="1" t="s">
        <v>85</v>
      </c>
      <c r="BN7" s="12">
        <f>BN6*C6</f>
        <v>0.15</v>
      </c>
    </row>
    <row r="8" spans="14:67" ht="15.75">
      <c r="N8" s="4"/>
      <c r="BN8" s="7" t="s">
        <v>3</v>
      </c>
      <c r="BO8" s="7" t="s">
        <v>4</v>
      </c>
    </row>
    <row r="9" spans="14:67" ht="15.75">
      <c r="N9" s="4"/>
      <c r="BM9" s="6" t="s">
        <v>9</v>
      </c>
      <c r="BN9" s="5">
        <v>0</v>
      </c>
      <c r="BO9" s="5">
        <f>C2/2</f>
        <v>0.5</v>
      </c>
    </row>
    <row r="10" spans="14:67" ht="15.75">
      <c r="N10" s="4"/>
      <c r="BN10" s="5">
        <v>0</v>
      </c>
      <c r="BO10" s="5">
        <f>-BO9</f>
        <v>-0.5</v>
      </c>
    </row>
    <row r="11" spans="14:67" ht="15.75">
      <c r="N11" s="4"/>
      <c r="BM11" s="6" t="s">
        <v>79</v>
      </c>
      <c r="BN11" s="5">
        <f>-C4</f>
        <v>-20</v>
      </c>
      <c r="BO11" s="5">
        <f>IF(E5=0,BO12,0)</f>
        <v>1</v>
      </c>
    </row>
    <row r="12" spans="14:67" ht="15.75">
      <c r="N12" s="4"/>
      <c r="BN12" s="5">
        <f>-C4</f>
        <v>-20</v>
      </c>
      <c r="BO12" s="5">
        <f>C6</f>
        <v>1</v>
      </c>
    </row>
    <row r="13" spans="14:67" ht="15.75">
      <c r="N13" s="4"/>
      <c r="BM13" s="6" t="s">
        <v>23</v>
      </c>
      <c r="BN13" s="7">
        <v>0</v>
      </c>
      <c r="BO13" s="7">
        <v>0</v>
      </c>
    </row>
    <row r="14" spans="14:66" ht="15.75">
      <c r="N14" s="4"/>
      <c r="BM14" s="1" t="s">
        <v>83</v>
      </c>
      <c r="BN14" s="73">
        <f>C6</f>
        <v>1</v>
      </c>
    </row>
    <row r="15" spans="14:71" ht="15.75">
      <c r="N15" s="4"/>
      <c r="BR15" s="7"/>
      <c r="BS15" s="7"/>
    </row>
    <row r="16" spans="14:71" ht="15.75">
      <c r="N16" s="4"/>
      <c r="BR16" s="7"/>
      <c r="BS16" s="7"/>
    </row>
    <row r="17" spans="14:67" ht="15.75">
      <c r="N17" s="4"/>
      <c r="BM17" s="6" t="s">
        <v>5</v>
      </c>
      <c r="BN17" s="5">
        <f>-BO114</f>
        <v>-2.678571428571429</v>
      </c>
      <c r="BO17" s="5">
        <v>0</v>
      </c>
    </row>
    <row r="18" spans="14:67" ht="15.75">
      <c r="N18" s="4"/>
      <c r="BM18" s="6" t="s">
        <v>6</v>
      </c>
      <c r="BN18" s="5">
        <f>BO114</f>
        <v>2.678571428571429</v>
      </c>
      <c r="BO18" s="5">
        <v>0</v>
      </c>
    </row>
    <row r="19" spans="14:67" ht="15.75">
      <c r="N19" s="4"/>
      <c r="BM19" s="6" t="s">
        <v>7</v>
      </c>
      <c r="BN19" s="7" t="s">
        <v>3</v>
      </c>
      <c r="BO19" s="7" t="s">
        <v>4</v>
      </c>
    </row>
    <row r="20" spans="14:67" ht="15.75">
      <c r="N20" s="4"/>
      <c r="BM20" s="6" t="s">
        <v>16</v>
      </c>
      <c r="BN20" s="5">
        <v>-200</v>
      </c>
      <c r="BO20" s="5">
        <v>0</v>
      </c>
    </row>
    <row r="21" spans="14:67" ht="15.75">
      <c r="N21" s="4"/>
      <c r="BN21" s="5">
        <f>BO96</f>
        <v>4.199999999999999</v>
      </c>
      <c r="BO21" s="5">
        <v>0</v>
      </c>
    </row>
    <row r="22" spans="14:67" ht="15.75">
      <c r="N22" s="4"/>
      <c r="BM22" s="6" t="s">
        <v>1</v>
      </c>
      <c r="BN22" s="5">
        <f>IF(H6=0,0,IF($BN$4&lt;0,0,BN4))</f>
        <v>3</v>
      </c>
      <c r="BO22" s="5">
        <f>IF(H6=0,0,IF(E5=0,BO23,IF($BN$4&lt;0,0,-BN7+BN7/5*(H6-1))))</f>
        <v>-0.15</v>
      </c>
    </row>
    <row r="23" spans="14:67" ht="15.75">
      <c r="N23" s="4"/>
      <c r="BN23" s="5">
        <f>IF(H6=0,0,IF($BN$4&lt;0,0,BN4))</f>
        <v>3</v>
      </c>
      <c r="BO23" s="5">
        <f>IF($H$6=0,0,IF(BN4&lt;0,0,-BN7))</f>
        <v>-0.15</v>
      </c>
    </row>
    <row r="24" spans="65:70" ht="15.75">
      <c r="BM24" s="6" t="s">
        <v>8</v>
      </c>
      <c r="BO24" s="7" t="s">
        <v>11</v>
      </c>
      <c r="BP24" s="8">
        <f>IF($BN$4&lt;0,0,$C$4/5)</f>
        <v>4</v>
      </c>
      <c r="BQ24" s="8"/>
      <c r="BR24" s="8"/>
    </row>
    <row r="25" spans="67:70" ht="15.75">
      <c r="BO25" s="7" t="s">
        <v>12</v>
      </c>
      <c r="BP25" s="8">
        <f>IF($BN$4&lt;0,0,BO96/5)</f>
        <v>0.8399999999999999</v>
      </c>
      <c r="BQ25" s="8"/>
      <c r="BR25" s="8"/>
    </row>
    <row r="26" spans="67:70" ht="15.75">
      <c r="BO26" s="7" t="s">
        <v>13</v>
      </c>
      <c r="BP26" s="8">
        <v>0</v>
      </c>
      <c r="BQ26" s="8"/>
      <c r="BR26" s="8"/>
    </row>
    <row r="27" spans="67:70" ht="15.75">
      <c r="BO27" s="7" t="s">
        <v>14</v>
      </c>
      <c r="BP27" s="8">
        <f>-C6/C3</f>
        <v>-0.3733333333333333</v>
      </c>
      <c r="BQ27" s="8"/>
      <c r="BR27" s="8"/>
    </row>
    <row r="28" spans="65:70" ht="15.75">
      <c r="BM28" s="7" t="s">
        <v>15</v>
      </c>
      <c r="BO28" s="7" t="s">
        <v>3</v>
      </c>
      <c r="BP28" s="7" t="s">
        <v>4</v>
      </c>
      <c r="BQ28" s="7"/>
      <c r="BR28" s="7"/>
    </row>
    <row r="29" spans="65:70" ht="15.75">
      <c r="BM29" s="7">
        <v>0</v>
      </c>
      <c r="BN29" s="7">
        <f aca="true" t="shared" si="0" ref="BN29:BN39">MIN(BM29,$H$2)</f>
        <v>0</v>
      </c>
      <c r="BO29" s="78">
        <f>IF($BN$4&lt;0,0,-$C$4)</f>
        <v>-20</v>
      </c>
      <c r="BP29" s="78">
        <f>IF($BN$4&lt;0,0,IF(BO29&lt;=0,$BP$26*BO29+$C$6,$BP$27*BO29+$C$6))</f>
        <v>1</v>
      </c>
      <c r="BQ29" s="5"/>
      <c r="BR29" s="5"/>
    </row>
    <row r="30" spans="65:70" ht="15.75">
      <c r="BM30" s="7">
        <v>1</v>
      </c>
      <c r="BN30" s="7">
        <f t="shared" si="0"/>
        <v>0</v>
      </c>
      <c r="BO30" s="78">
        <f>IF(BN30&lt;=5,BO29+(BN30-BN29)*$BP$24,BO29+(BN30-BN29)*$BP$25)</f>
        <v>-20</v>
      </c>
      <c r="BP30" s="78">
        <f aca="true" t="shared" si="1" ref="BP30:BP39">IF($BN$4&lt;0,0,IF(BO30&lt;=0,$BP$26*BO30+$C$6,$BP$27*BO30+$C$6))</f>
        <v>1</v>
      </c>
      <c r="BQ30" s="5"/>
      <c r="BR30" s="5"/>
    </row>
    <row r="31" spans="65:70" ht="15.75">
      <c r="BM31" s="7">
        <v>2</v>
      </c>
      <c r="BN31" s="7">
        <f t="shared" si="0"/>
        <v>0</v>
      </c>
      <c r="BO31" s="78">
        <f>IF(BN31&lt;=5,BO30+(BN31-BN30)*$BP$24,BO30+(BN31-BN30)*$BP$25)</f>
        <v>-20</v>
      </c>
      <c r="BP31" s="78">
        <f t="shared" si="1"/>
        <v>1</v>
      </c>
      <c r="BQ31" s="5"/>
      <c r="BR31" s="5"/>
    </row>
    <row r="32" spans="65:70" ht="15.75">
      <c r="BM32" s="7">
        <v>3</v>
      </c>
      <c r="BN32" s="7">
        <f t="shared" si="0"/>
        <v>0</v>
      </c>
      <c r="BO32" s="78">
        <f>IF(BN32&lt;=5,BO31+(BN32-BN31)*$BP$24,BO31+(BN32-BN31)*$BP$25)</f>
        <v>-20</v>
      </c>
      <c r="BP32" s="78">
        <f t="shared" si="1"/>
        <v>1</v>
      </c>
      <c r="BQ32" s="5"/>
      <c r="BR32" s="5"/>
    </row>
    <row r="33" spans="65:70" ht="15.75">
      <c r="BM33" s="7">
        <v>4</v>
      </c>
      <c r="BN33" s="7">
        <f t="shared" si="0"/>
        <v>0</v>
      </c>
      <c r="BO33" s="78">
        <f>IF(BN33&lt;=5,BO32+(BN33-BN32)*$BP$24,BO32+(BN33-BN32)*$BP$25)</f>
        <v>-20</v>
      </c>
      <c r="BP33" s="78">
        <f t="shared" si="1"/>
        <v>1</v>
      </c>
      <c r="BQ33" s="5"/>
      <c r="BR33" s="5"/>
    </row>
    <row r="34" spans="65:70" ht="15.75">
      <c r="BM34" s="7">
        <v>5</v>
      </c>
      <c r="BN34" s="7">
        <f t="shared" si="0"/>
        <v>0</v>
      </c>
      <c r="BO34" s="78">
        <f aca="true" t="shared" si="2" ref="BO34:BO39">MIN($BN$4,IF(BN34&lt;=5,BO33+(BN34-BN33)*$BP$24,BO33+(BN34-BN33)*$BP$25))</f>
        <v>-20</v>
      </c>
      <c r="BP34" s="78">
        <f t="shared" si="1"/>
        <v>1</v>
      </c>
      <c r="BQ34" s="5"/>
      <c r="BR34" s="5"/>
    </row>
    <row r="35" spans="65:70" ht="15.75">
      <c r="BM35" s="7">
        <v>6</v>
      </c>
      <c r="BN35" s="7">
        <f t="shared" si="0"/>
        <v>0</v>
      </c>
      <c r="BO35" s="78">
        <f t="shared" si="2"/>
        <v>-20</v>
      </c>
      <c r="BP35" s="78">
        <f t="shared" si="1"/>
        <v>1</v>
      </c>
      <c r="BQ35" s="5"/>
      <c r="BR35" s="5"/>
    </row>
    <row r="36" spans="65:70" ht="15.75">
      <c r="BM36" s="7">
        <v>7</v>
      </c>
      <c r="BN36" s="7">
        <f t="shared" si="0"/>
        <v>0</v>
      </c>
      <c r="BO36" s="78">
        <f t="shared" si="2"/>
        <v>-20</v>
      </c>
      <c r="BP36" s="78">
        <f t="shared" si="1"/>
        <v>1</v>
      </c>
      <c r="BQ36" s="5"/>
      <c r="BR36" s="5"/>
    </row>
    <row r="37" spans="65:70" ht="15.75">
      <c r="BM37" s="7">
        <v>8</v>
      </c>
      <c r="BN37" s="7">
        <f t="shared" si="0"/>
        <v>0</v>
      </c>
      <c r="BO37" s="78">
        <f t="shared" si="2"/>
        <v>-20</v>
      </c>
      <c r="BP37" s="78">
        <f t="shared" si="1"/>
        <v>1</v>
      </c>
      <c r="BQ37" s="5"/>
      <c r="BR37" s="5"/>
    </row>
    <row r="38" spans="65:70" ht="15.75">
      <c r="BM38" s="7">
        <v>9</v>
      </c>
      <c r="BN38" s="7">
        <f t="shared" si="0"/>
        <v>0</v>
      </c>
      <c r="BO38" s="78">
        <f t="shared" si="2"/>
        <v>-20</v>
      </c>
      <c r="BP38" s="78">
        <f t="shared" si="1"/>
        <v>1</v>
      </c>
      <c r="BQ38" s="5"/>
      <c r="BR38" s="5"/>
    </row>
    <row r="39" spans="65:70" ht="15.75">
      <c r="BM39" s="7">
        <v>10</v>
      </c>
      <c r="BN39" s="7">
        <f t="shared" si="0"/>
        <v>0</v>
      </c>
      <c r="BO39" s="78">
        <f t="shared" si="2"/>
        <v>-20</v>
      </c>
      <c r="BP39" s="78">
        <f t="shared" si="1"/>
        <v>1</v>
      </c>
      <c r="BQ39" s="5"/>
      <c r="BR39" s="5"/>
    </row>
    <row r="40" spans="65:70" ht="15.75">
      <c r="BM40" s="6" t="s">
        <v>17</v>
      </c>
      <c r="BO40" s="1" t="s">
        <v>11</v>
      </c>
      <c r="BP40" s="8">
        <f>IF($BN$4&lt;0,0,$C$4/5)</f>
        <v>4</v>
      </c>
      <c r="BQ40" s="8"/>
      <c r="BR40" s="8"/>
    </row>
    <row r="41" spans="67:70" ht="15.75">
      <c r="BO41" s="1" t="s">
        <v>12</v>
      </c>
      <c r="BP41" s="8">
        <f>IF($BN$4&lt;0,0,BO96/5)</f>
        <v>0.8399999999999999</v>
      </c>
      <c r="BQ41" s="8"/>
      <c r="BR41" s="8"/>
    </row>
    <row r="42" spans="67:70" ht="15.75">
      <c r="BO42" s="1" t="s">
        <v>13</v>
      </c>
      <c r="BP42" s="8">
        <f>-C6/C4</f>
        <v>-0.05</v>
      </c>
      <c r="BQ42" s="8"/>
      <c r="BR42" s="8"/>
    </row>
    <row r="43" spans="67:70" ht="15.75">
      <c r="BO43" s="1" t="s">
        <v>14</v>
      </c>
      <c r="BP43" s="8">
        <f>BP42</f>
        <v>-0.05</v>
      </c>
      <c r="BQ43" s="8"/>
      <c r="BR43" s="8"/>
    </row>
    <row r="44" spans="65:70" ht="15.75">
      <c r="BM44" s="7" t="s">
        <v>15</v>
      </c>
      <c r="BO44" s="7" t="s">
        <v>3</v>
      </c>
      <c r="BP44" s="7" t="s">
        <v>4</v>
      </c>
      <c r="BQ44" s="7"/>
      <c r="BR44" s="7"/>
    </row>
    <row r="45" spans="65:70" ht="15.75">
      <c r="BM45" s="7">
        <v>0</v>
      </c>
      <c r="BN45" s="7">
        <f aca="true" t="shared" si="3" ref="BN45:BN55">MIN(BM45,$H$3)</f>
        <v>0</v>
      </c>
      <c r="BO45" s="79">
        <f>IF($BN$4&lt;0,0,-$C$4)</f>
        <v>-20</v>
      </c>
      <c r="BP45" s="79">
        <f>IF($BN$4&lt;0,0,IF(BO45&lt;=0,$BP$42*BO45,$BP$43*BO45))</f>
        <v>1</v>
      </c>
      <c r="BQ45" s="5"/>
      <c r="BR45" s="5"/>
    </row>
    <row r="46" spans="65:70" ht="15.75">
      <c r="BM46" s="7">
        <v>1</v>
      </c>
      <c r="BN46" s="7">
        <f t="shared" si="3"/>
        <v>0</v>
      </c>
      <c r="BO46" s="79">
        <f>IF(BN46&lt;=5,BO45+(BN46-BN45)*$BP$40,BO45+(BN46-BN45)*$BP$41)</f>
        <v>-20</v>
      </c>
      <c r="BP46" s="79">
        <f aca="true" t="shared" si="4" ref="BP46:BP55">IF(BO46&lt;=0,$BP$42*BO46,$BP$43*BO46)</f>
        <v>1</v>
      </c>
      <c r="BQ46" s="5"/>
      <c r="BR46" s="5"/>
    </row>
    <row r="47" spans="65:70" ht="15.75">
      <c r="BM47" s="7">
        <v>2</v>
      </c>
      <c r="BN47" s="7">
        <f t="shared" si="3"/>
        <v>0</v>
      </c>
      <c r="BO47" s="79">
        <f>IF(BN47&lt;=5,BO46+(BN47-BN46)*$BP$40,BO46+(BN47-BN46)*$BP$41)</f>
        <v>-20</v>
      </c>
      <c r="BP47" s="79">
        <f t="shared" si="4"/>
        <v>1</v>
      </c>
      <c r="BQ47" s="5"/>
      <c r="BR47" s="5"/>
    </row>
    <row r="48" spans="65:70" ht="15.75">
      <c r="BM48" s="7">
        <v>3</v>
      </c>
      <c r="BN48" s="7">
        <f t="shared" si="3"/>
        <v>0</v>
      </c>
      <c r="BO48" s="79">
        <f>IF(BN48&lt;=5,BO47+(BN48-BN47)*$BP$40,BO47+(BN48-BN47)*$BP$41)</f>
        <v>-20</v>
      </c>
      <c r="BP48" s="79">
        <f t="shared" si="4"/>
        <v>1</v>
      </c>
      <c r="BQ48" s="5"/>
      <c r="BR48" s="5"/>
    </row>
    <row r="49" spans="65:70" ht="15.75">
      <c r="BM49" s="7">
        <v>4</v>
      </c>
      <c r="BN49" s="7">
        <f t="shared" si="3"/>
        <v>0</v>
      </c>
      <c r="BO49" s="79">
        <f>IF(BN49&lt;=5,BO48+(BN49-BN48)*$BP$40,BO48+(BN49-BN48)*$BP$41)</f>
        <v>-20</v>
      </c>
      <c r="BP49" s="79">
        <f t="shared" si="4"/>
        <v>1</v>
      </c>
      <c r="BQ49" s="5"/>
      <c r="BR49" s="5"/>
    </row>
    <row r="50" spans="65:70" ht="15.75">
      <c r="BM50" s="7">
        <v>5</v>
      </c>
      <c r="BN50" s="7">
        <f t="shared" si="3"/>
        <v>0</v>
      </c>
      <c r="BO50" s="79">
        <f>IF(BN50&lt;=5,BO49+(BN50-BN49)*$BP$40,BO49+(BN50-BN49)*$BP$41)</f>
        <v>-20</v>
      </c>
      <c r="BP50" s="79">
        <f t="shared" si="4"/>
        <v>1</v>
      </c>
      <c r="BQ50" s="5"/>
      <c r="BR50" s="5"/>
    </row>
    <row r="51" spans="65:70" ht="15.75">
      <c r="BM51" s="7">
        <v>6</v>
      </c>
      <c r="BN51" s="7">
        <f t="shared" si="3"/>
        <v>0</v>
      </c>
      <c r="BO51" s="79">
        <f>MIN($BN$4,IF(BN51&lt;=5,BO50+(BN51-BN50)*$BP$40,BO50+(BN51-BN50)*$BP$41))</f>
        <v>-20</v>
      </c>
      <c r="BP51" s="79">
        <f t="shared" si="4"/>
        <v>1</v>
      </c>
      <c r="BQ51" s="5"/>
      <c r="BR51" s="5"/>
    </row>
    <row r="52" spans="65:70" ht="15.75">
      <c r="BM52" s="7">
        <v>7</v>
      </c>
      <c r="BN52" s="7">
        <f t="shared" si="3"/>
        <v>0</v>
      </c>
      <c r="BO52" s="79">
        <f>MIN($BN$4,IF(BN52&lt;=5,BO51+(BN52-BN51)*$BP$40,BO51+(BN52-BN51)*$BP$41))</f>
        <v>-20</v>
      </c>
      <c r="BP52" s="79">
        <f t="shared" si="4"/>
        <v>1</v>
      </c>
      <c r="BQ52" s="5"/>
      <c r="BR52" s="5"/>
    </row>
    <row r="53" spans="65:70" ht="15.75">
      <c r="BM53" s="7">
        <v>8</v>
      </c>
      <c r="BN53" s="7">
        <f t="shared" si="3"/>
        <v>0</v>
      </c>
      <c r="BO53" s="79">
        <f>MIN($BN$4,IF(BN53&lt;=5,BO52+(BN53-BN52)*$BP$40,BO52+(BN53-BN52)*$BP$41))</f>
        <v>-20</v>
      </c>
      <c r="BP53" s="79">
        <f t="shared" si="4"/>
        <v>1</v>
      </c>
      <c r="BQ53" s="5"/>
      <c r="BR53" s="5"/>
    </row>
    <row r="54" spans="65:70" ht="15.75">
      <c r="BM54" s="7">
        <v>9</v>
      </c>
      <c r="BN54" s="7">
        <f t="shared" si="3"/>
        <v>0</v>
      </c>
      <c r="BO54" s="79">
        <f>MIN($BN$4,IF(BN54&lt;=5,BO53+(BN54-BN53)*$BP$40,BO53+(BN54-BN53)*$BP$41))</f>
        <v>-20</v>
      </c>
      <c r="BP54" s="79">
        <f t="shared" si="4"/>
        <v>1</v>
      </c>
      <c r="BQ54" s="5"/>
      <c r="BR54" s="5"/>
    </row>
    <row r="55" spans="65:70" ht="15.75">
      <c r="BM55" s="7">
        <v>10</v>
      </c>
      <c r="BN55" s="7">
        <f t="shared" si="3"/>
        <v>0</v>
      </c>
      <c r="BO55" s="79">
        <f>MIN($BN$4,IF(BN55&lt;=5,BO54+(BN55-BN54)*$BP$40,BO54+(BN55-BN54)*$BP$41))</f>
        <v>-20</v>
      </c>
      <c r="BP55" s="79">
        <f t="shared" si="4"/>
        <v>1</v>
      </c>
      <c r="BQ55" s="5"/>
      <c r="BR55" s="5"/>
    </row>
    <row r="56" spans="65:70" ht="15.75">
      <c r="BM56" s="6" t="s">
        <v>18</v>
      </c>
      <c r="BO56" s="1" t="s">
        <v>11</v>
      </c>
      <c r="BP56" s="8">
        <f>IF($BN$4&lt;0,0,$C$4/5)</f>
        <v>4</v>
      </c>
      <c r="BQ56" s="8"/>
      <c r="BR56" s="8"/>
    </row>
    <row r="57" spans="67:70" ht="15.75">
      <c r="BO57" s="1" t="s">
        <v>12</v>
      </c>
      <c r="BP57" s="8">
        <f>IF($BN$4&lt;0,0,BO96/5)</f>
        <v>0.8399999999999999</v>
      </c>
      <c r="BQ57" s="8"/>
      <c r="BR57" s="8"/>
    </row>
    <row r="58" spans="67:70" ht="15.75">
      <c r="BO58" s="1" t="s">
        <v>13</v>
      </c>
      <c r="BP58" s="12">
        <f>-C6/(C4-C3)</f>
        <v>-0.05773195876288661</v>
      </c>
      <c r="BQ58" s="8"/>
      <c r="BR58" s="8"/>
    </row>
    <row r="59" spans="67:70" ht="15.75">
      <c r="BO59" s="1" t="s">
        <v>14</v>
      </c>
      <c r="BP59" s="8">
        <v>0</v>
      </c>
      <c r="BQ59" s="8"/>
      <c r="BR59" s="8"/>
    </row>
    <row r="60" spans="65:70" ht="15.75">
      <c r="BM60" s="7" t="s">
        <v>15</v>
      </c>
      <c r="BO60" s="7" t="s">
        <v>3</v>
      </c>
      <c r="BP60" s="8" t="s">
        <v>4</v>
      </c>
      <c r="BQ60" s="8"/>
      <c r="BR60" s="8"/>
    </row>
    <row r="61" spans="65:70" ht="15.75">
      <c r="BM61" s="7">
        <v>0</v>
      </c>
      <c r="BN61" s="7">
        <f aca="true" t="shared" si="5" ref="BN61:BN71">MIN(BM61,$H$4)</f>
        <v>0</v>
      </c>
      <c r="BO61" s="80">
        <f>IF($BN$4&lt;0,0,-$C$4)</f>
        <v>-20</v>
      </c>
      <c r="BP61" s="81">
        <f aca="true" t="shared" si="6" ref="BP61:BP71">IF($BN$4&lt;0,0,IF(BO61&lt;=0,$BP$58*BO61-$BN$7,$BP$59*BO61-$BN$7))</f>
        <v>1.0046391752577322</v>
      </c>
      <c r="BQ61" s="8"/>
      <c r="BR61" s="5"/>
    </row>
    <row r="62" spans="65:70" ht="15.75">
      <c r="BM62" s="7">
        <v>1</v>
      </c>
      <c r="BN62" s="7">
        <f t="shared" si="5"/>
        <v>0</v>
      </c>
      <c r="BO62" s="80">
        <f>IF(BN62&lt;=5,BO61+(BN62-BN61)*$BP$56,BO61+(BN62-BN61)*$BP$57)</f>
        <v>-20</v>
      </c>
      <c r="BP62" s="80">
        <f t="shared" si="6"/>
        <v>1.0046391752577322</v>
      </c>
      <c r="BQ62" s="8"/>
      <c r="BR62" s="5"/>
    </row>
    <row r="63" spans="65:70" ht="15.75">
      <c r="BM63" s="7">
        <v>2</v>
      </c>
      <c r="BN63" s="7">
        <f t="shared" si="5"/>
        <v>0</v>
      </c>
      <c r="BO63" s="80">
        <f>IF(BN63&lt;=5,BO62+(BN63-BN62)*$BP$56,BO62+(BN63-BN62)*$BP$57)</f>
        <v>-20</v>
      </c>
      <c r="BP63" s="80">
        <f t="shared" si="6"/>
        <v>1.0046391752577322</v>
      </c>
      <c r="BQ63" s="8"/>
      <c r="BR63" s="5"/>
    </row>
    <row r="64" spans="65:70" ht="15.75">
      <c r="BM64" s="7">
        <v>3</v>
      </c>
      <c r="BN64" s="7">
        <f t="shared" si="5"/>
        <v>0</v>
      </c>
      <c r="BO64" s="80">
        <f>IF(BN64&lt;=5,BO63+(BN64-BN63)*$BP$56,BO63+(BN64-BN63)*$BP$57)</f>
        <v>-20</v>
      </c>
      <c r="BP64" s="80">
        <f t="shared" si="6"/>
        <v>1.0046391752577322</v>
      </c>
      <c r="BQ64" s="8"/>
      <c r="BR64" s="5"/>
    </row>
    <row r="65" spans="65:70" ht="15.75">
      <c r="BM65" s="7">
        <v>4</v>
      </c>
      <c r="BN65" s="7">
        <f t="shared" si="5"/>
        <v>0</v>
      </c>
      <c r="BO65" s="80">
        <f>IF(BN65&lt;=5,BO64+(BN65-BN64)*$BP$56,BO64+(BN65-BN64)*$BP$57)</f>
        <v>-20</v>
      </c>
      <c r="BP65" s="80">
        <f t="shared" si="6"/>
        <v>1.0046391752577322</v>
      </c>
      <c r="BQ65" s="8"/>
      <c r="BR65" s="5"/>
    </row>
    <row r="66" spans="65:70" ht="15.75">
      <c r="BM66" s="7">
        <v>5</v>
      </c>
      <c r="BN66" s="7">
        <f t="shared" si="5"/>
        <v>0</v>
      </c>
      <c r="BO66" s="80">
        <f>IF(BN66&lt;=5,BO65+(BN66-BN65)*$BP$56,BO65+(BN66-BN65)*$BP$57)</f>
        <v>-20</v>
      </c>
      <c r="BP66" s="80">
        <f t="shared" si="6"/>
        <v>1.0046391752577322</v>
      </c>
      <c r="BQ66" s="8"/>
      <c r="BR66" s="5"/>
    </row>
    <row r="67" spans="65:70" ht="15.75">
      <c r="BM67" s="7">
        <v>6</v>
      </c>
      <c r="BN67" s="7">
        <f t="shared" si="5"/>
        <v>0</v>
      </c>
      <c r="BO67" s="80">
        <f>MIN($BN$4,IF(BN67&lt;=5,BO66+(BN67-BN66)*$BP$56,BO66+(BN67-BN66)*$BP$57))</f>
        <v>-20</v>
      </c>
      <c r="BP67" s="80">
        <f t="shared" si="6"/>
        <v>1.0046391752577322</v>
      </c>
      <c r="BQ67" s="8"/>
      <c r="BR67" s="5"/>
    </row>
    <row r="68" spans="65:70" ht="15.75">
      <c r="BM68" s="7">
        <v>7</v>
      </c>
      <c r="BN68" s="7">
        <f t="shared" si="5"/>
        <v>0</v>
      </c>
      <c r="BO68" s="80">
        <f>MIN($BN$4,IF(BN68&lt;=5,BO67+(BN68-BN67)*$BP$56,BO67+(BN68-BN67)*$BP$57))</f>
        <v>-20</v>
      </c>
      <c r="BP68" s="80">
        <f t="shared" si="6"/>
        <v>1.0046391752577322</v>
      </c>
      <c r="BQ68" s="8"/>
      <c r="BR68" s="5"/>
    </row>
    <row r="69" spans="65:70" ht="15.75">
      <c r="BM69" s="7">
        <v>8</v>
      </c>
      <c r="BN69" s="7">
        <f t="shared" si="5"/>
        <v>0</v>
      </c>
      <c r="BO69" s="80">
        <f>MIN($BN$4,IF(BN69&lt;=5,BO68+(BN69-BN68)*$BP$56,BO68+(BN69-BN68)*$BP$57))</f>
        <v>-20</v>
      </c>
      <c r="BP69" s="80">
        <f t="shared" si="6"/>
        <v>1.0046391752577322</v>
      </c>
      <c r="BQ69" s="8"/>
      <c r="BR69" s="5"/>
    </row>
    <row r="70" spans="65:70" ht="15.75">
      <c r="BM70" s="7">
        <v>9</v>
      </c>
      <c r="BN70" s="7">
        <f t="shared" si="5"/>
        <v>0</v>
      </c>
      <c r="BO70" s="80">
        <f>MIN($BN$4,IF(BN70&lt;=5,BO69+(BN70-BN69)*$BP$56,BO69+(BN70-BN69)*$BP$57))</f>
        <v>-20</v>
      </c>
      <c r="BP70" s="80">
        <f t="shared" si="6"/>
        <v>1.0046391752577322</v>
      </c>
      <c r="BQ70" s="8"/>
      <c r="BR70" s="5"/>
    </row>
    <row r="71" spans="65:70" ht="15.75">
      <c r="BM71" s="7">
        <v>10</v>
      </c>
      <c r="BN71" s="7">
        <f t="shared" si="5"/>
        <v>0</v>
      </c>
      <c r="BO71" s="80">
        <f>MIN($BN$4,IF(BN71&lt;=5,BO70+(BN71-BN70)*$BP$56,BO70+(BN71-BN70)*$BP$57))</f>
        <v>-20</v>
      </c>
      <c r="BP71" s="80">
        <f t="shared" si="6"/>
        <v>1.0046391752577322</v>
      </c>
      <c r="BQ71" s="8"/>
      <c r="BR71" s="5"/>
    </row>
    <row r="72" spans="65:70" ht="15.75">
      <c r="BM72" s="6" t="s">
        <v>19</v>
      </c>
      <c r="BO72" s="1" t="s">
        <v>11</v>
      </c>
      <c r="BP72" s="8">
        <f>IF($BN$4&lt;0,0,$C$4/5)</f>
        <v>4</v>
      </c>
      <c r="BQ72" s="8"/>
      <c r="BR72" s="8"/>
    </row>
    <row r="73" spans="67:70" ht="15.75">
      <c r="BO73" s="1" t="s">
        <v>12</v>
      </c>
      <c r="BP73" s="8">
        <f>IF($BN$4&lt;0,0,BO96/5)</f>
        <v>0.8399999999999999</v>
      </c>
      <c r="BQ73" s="8"/>
      <c r="BR73" s="8"/>
    </row>
    <row r="74" spans="67:70" ht="15.75">
      <c r="BO74" s="1" t="s">
        <v>13</v>
      </c>
      <c r="BP74" s="8">
        <f>-(C6-BO76)/C4</f>
        <v>-0.075</v>
      </c>
      <c r="BQ74" s="8"/>
      <c r="BR74" s="8"/>
    </row>
    <row r="75" spans="67:70" ht="15.75">
      <c r="BO75" s="1" t="s">
        <v>14</v>
      </c>
      <c r="BP75" s="8">
        <f>-(BO76--BN7)/BN4</f>
        <v>0.11666666666666665</v>
      </c>
      <c r="BQ75" s="8"/>
      <c r="BR75" s="8"/>
    </row>
    <row r="76" spans="65:67" ht="15.75">
      <c r="BM76" s="1" t="s">
        <v>20</v>
      </c>
      <c r="BO76" s="5">
        <f>-C2/2+C2/10*P3</f>
        <v>-0.5</v>
      </c>
    </row>
    <row r="77" spans="65:70" ht="15.75">
      <c r="BM77" s="7" t="s">
        <v>15</v>
      </c>
      <c r="BO77" s="7" t="s">
        <v>3</v>
      </c>
      <c r="BP77" s="8" t="s">
        <v>4</v>
      </c>
      <c r="BQ77" s="8"/>
      <c r="BR77" s="8"/>
    </row>
    <row r="78" spans="65:70" ht="15.75">
      <c r="BM78" s="7">
        <v>0</v>
      </c>
      <c r="BN78" s="7">
        <f aca="true" t="shared" si="7" ref="BN78:BN88">MIN(BM78,$P$2)</f>
        <v>0</v>
      </c>
      <c r="BO78" s="5">
        <f>IF($BN$4&lt;0,0,-$C$4)</f>
        <v>-20</v>
      </c>
      <c r="BP78" s="5">
        <f>IF($BN$4&lt;0,0,IF(BO78&lt;=0,$BP$74*BO78+$BO$76,$BP$75*BO78+$BO$76))</f>
        <v>1</v>
      </c>
      <c r="BQ78" s="5"/>
      <c r="BR78" s="5"/>
    </row>
    <row r="79" spans="65:70" ht="15.75">
      <c r="BM79" s="7">
        <v>1</v>
      </c>
      <c r="BN79" s="7">
        <f t="shared" si="7"/>
        <v>1</v>
      </c>
      <c r="BO79" s="5">
        <f>IF(BN79&lt;=5,BO78+(BN79-BN78)*$BP$72,BO78+(BN79-BN78)*$BP$73)</f>
        <v>-16</v>
      </c>
      <c r="BP79" s="5">
        <f aca="true" t="shared" si="8" ref="BP79:BP88">IF($BN$4&lt;0,0,IF(BO79&lt;=0,$BP$74*BO79+$BO$76,$BP$75*BO79+$BO$76))</f>
        <v>0.7</v>
      </c>
      <c r="BQ79" s="5"/>
      <c r="BR79" s="5"/>
    </row>
    <row r="80" spans="65:70" ht="15.75">
      <c r="BM80" s="7">
        <v>2</v>
      </c>
      <c r="BN80" s="7">
        <f t="shared" si="7"/>
        <v>2</v>
      </c>
      <c r="BO80" s="5">
        <f aca="true" t="shared" si="9" ref="BO80:BO88">IF(BN80&lt;=5,BO79+(BN80-BN79)*$BP$72,BO79+(BN80-BN79)*$BP$73)</f>
        <v>-12</v>
      </c>
      <c r="BP80" s="5">
        <f t="shared" si="8"/>
        <v>0.3999999999999999</v>
      </c>
      <c r="BQ80" s="5"/>
      <c r="BR80" s="5"/>
    </row>
    <row r="81" spans="65:80" ht="15.75">
      <c r="BM81" s="7">
        <v>3</v>
      </c>
      <c r="BN81" s="7">
        <f t="shared" si="7"/>
        <v>3</v>
      </c>
      <c r="BO81" s="5">
        <f t="shared" si="9"/>
        <v>-8</v>
      </c>
      <c r="BP81" s="5">
        <f t="shared" si="8"/>
        <v>0.09999999999999998</v>
      </c>
      <c r="BQ81" s="5"/>
      <c r="BR81" s="5"/>
      <c r="BT81" s="6"/>
      <c r="BW81" s="8"/>
      <c r="BY81" s="7"/>
      <c r="BZ81" s="7"/>
      <c r="CA81" s="5"/>
      <c r="CB81" s="5"/>
    </row>
    <row r="82" spans="65:80" ht="15.75">
      <c r="BM82" s="7">
        <v>4</v>
      </c>
      <c r="BN82" s="7">
        <f t="shared" si="7"/>
        <v>4</v>
      </c>
      <c r="BO82" s="5">
        <f t="shared" si="9"/>
        <v>-4</v>
      </c>
      <c r="BP82" s="5">
        <f t="shared" si="8"/>
        <v>-0.2</v>
      </c>
      <c r="BQ82" s="5"/>
      <c r="BR82" s="5"/>
      <c r="BT82" s="6"/>
      <c r="BW82" s="8"/>
      <c r="BY82" s="7"/>
      <c r="BZ82" s="7"/>
      <c r="CA82" s="5"/>
      <c r="CB82" s="5"/>
    </row>
    <row r="83" spans="65:80" ht="15.75">
      <c r="BM83" s="7">
        <v>5</v>
      </c>
      <c r="BN83" s="7">
        <f t="shared" si="7"/>
        <v>5</v>
      </c>
      <c r="BO83" s="5">
        <f t="shared" si="9"/>
        <v>0</v>
      </c>
      <c r="BP83" s="5">
        <f t="shared" si="8"/>
        <v>-0.5</v>
      </c>
      <c r="BQ83" s="5"/>
      <c r="BR83" s="5"/>
      <c r="BT83" s="6"/>
      <c r="BW83" s="8"/>
      <c r="BY83" s="7"/>
      <c r="BZ83" s="7"/>
      <c r="CA83" s="5"/>
      <c r="CB83" s="5"/>
    </row>
    <row r="84" spans="65:80" ht="15.75">
      <c r="BM84" s="7">
        <v>6</v>
      </c>
      <c r="BN84" s="7">
        <f t="shared" si="7"/>
        <v>6</v>
      </c>
      <c r="BO84" s="5">
        <f t="shared" si="9"/>
        <v>0.8399999999999999</v>
      </c>
      <c r="BP84" s="5">
        <f t="shared" si="8"/>
        <v>-0.402</v>
      </c>
      <c r="BQ84" s="5"/>
      <c r="BR84" s="5"/>
      <c r="BT84" s="6"/>
      <c r="BW84" s="8"/>
      <c r="BY84" s="7"/>
      <c r="BZ84" s="7"/>
      <c r="CA84" s="5"/>
      <c r="CB84" s="5"/>
    </row>
    <row r="85" spans="65:80" ht="15.75">
      <c r="BM85" s="7">
        <v>7</v>
      </c>
      <c r="BN85" s="7">
        <f t="shared" si="7"/>
        <v>7</v>
      </c>
      <c r="BO85" s="5">
        <f t="shared" si="9"/>
        <v>1.6799999999999997</v>
      </c>
      <c r="BP85" s="5">
        <f t="shared" si="8"/>
        <v>-0.30400000000000005</v>
      </c>
      <c r="BQ85" s="5"/>
      <c r="BR85" s="5"/>
      <c r="BT85" s="6"/>
      <c r="BW85" s="8"/>
      <c r="BY85" s="7"/>
      <c r="BZ85" s="7"/>
      <c r="CA85" s="5"/>
      <c r="CB85" s="5"/>
    </row>
    <row r="86" spans="65:80" ht="15.75">
      <c r="BM86" s="7">
        <v>8</v>
      </c>
      <c r="BN86" s="7">
        <f t="shared" si="7"/>
        <v>8</v>
      </c>
      <c r="BO86" s="5">
        <f t="shared" si="9"/>
        <v>2.5199999999999996</v>
      </c>
      <c r="BP86" s="5">
        <f t="shared" si="8"/>
        <v>-0.20600000000000007</v>
      </c>
      <c r="BQ86" s="5"/>
      <c r="BR86" s="5"/>
      <c r="BT86" s="6"/>
      <c r="BW86" s="8"/>
      <c r="BY86" s="7"/>
      <c r="BZ86" s="7"/>
      <c r="CA86" s="5"/>
      <c r="CB86" s="5"/>
    </row>
    <row r="87" spans="65:80" ht="15.75">
      <c r="BM87" s="7">
        <v>9</v>
      </c>
      <c r="BN87" s="7">
        <f t="shared" si="7"/>
        <v>9</v>
      </c>
      <c r="BO87" s="5">
        <f t="shared" si="9"/>
        <v>3.3599999999999994</v>
      </c>
      <c r="BP87" s="5">
        <f t="shared" si="8"/>
        <v>-0.1080000000000001</v>
      </c>
      <c r="BQ87" s="5"/>
      <c r="BR87" s="5"/>
      <c r="BT87" s="6"/>
      <c r="BW87" s="8"/>
      <c r="BY87" s="7"/>
      <c r="BZ87" s="7"/>
      <c r="CA87" s="5"/>
      <c r="CB87" s="5"/>
    </row>
    <row r="88" spans="65:80" ht="15.75">
      <c r="BM88" s="7">
        <v>10</v>
      </c>
      <c r="BN88" s="7">
        <f t="shared" si="7"/>
        <v>10</v>
      </c>
      <c r="BO88" s="5">
        <f t="shared" si="9"/>
        <v>4.199999999999999</v>
      </c>
      <c r="BP88" s="5">
        <f t="shared" si="8"/>
        <v>-0.01000000000000012</v>
      </c>
      <c r="BQ88" s="5"/>
      <c r="BR88" s="5"/>
      <c r="BT88" s="6"/>
      <c r="BW88" s="8"/>
      <c r="BY88" s="7"/>
      <c r="BZ88" s="7"/>
      <c r="CA88" s="5"/>
      <c r="CB88" s="5"/>
    </row>
    <row r="89" spans="72:80" ht="15.75">
      <c r="BT89" s="6"/>
      <c r="BW89" s="8"/>
      <c r="BY89" s="7"/>
      <c r="BZ89" s="7"/>
      <c r="CA89" s="5"/>
      <c r="CB89" s="5"/>
    </row>
    <row r="90" spans="65:75" ht="15.75">
      <c r="BM90" s="6" t="s">
        <v>39</v>
      </c>
      <c r="BN90" s="7">
        <v>1</v>
      </c>
      <c r="BT90" s="6"/>
      <c r="BW90" s="8"/>
    </row>
    <row r="91" spans="72:75" ht="15.75">
      <c r="BT91" s="6"/>
      <c r="BW91" s="8"/>
    </row>
    <row r="92" spans="66:75" ht="15.75">
      <c r="BN92" s="7" t="s">
        <v>3</v>
      </c>
      <c r="BO92" s="7" t="s">
        <v>4</v>
      </c>
      <c r="BT92" s="6"/>
      <c r="BW92" s="8"/>
    </row>
    <row r="93" spans="66:75" ht="15.75">
      <c r="BN93" s="5">
        <f>IF($BN$90=0,0,BN3)</f>
        <v>3</v>
      </c>
      <c r="BO93" s="5">
        <f>IF(BN90=0,0,BO98)</f>
        <v>1</v>
      </c>
      <c r="BT93" s="6"/>
      <c r="BW93" s="8"/>
    </row>
    <row r="94" spans="66:75" ht="15.75">
      <c r="BN94" s="5">
        <f>IF($BN$90=0,0,BN93)</f>
        <v>3</v>
      </c>
      <c r="BO94" s="5">
        <f>-BO93</f>
        <v>-1</v>
      </c>
      <c r="BT94" s="6"/>
      <c r="BW94" s="8"/>
    </row>
    <row r="95" spans="65:75" ht="15.75">
      <c r="BM95" s="6" t="s">
        <v>51</v>
      </c>
      <c r="BN95" s="29" t="s">
        <v>52</v>
      </c>
      <c r="BO95" s="5">
        <f>MIN(IF($C$4=$C$3,-$C$3,IF($BN$4&gt;0,-C4,IF($BN$4&lt;0,BN4))),-C3)</f>
        <v>-20</v>
      </c>
      <c r="BT95" s="6"/>
      <c r="BW95" s="8"/>
    </row>
    <row r="96" spans="66:75" ht="15.75">
      <c r="BN96" s="29" t="s">
        <v>53</v>
      </c>
      <c r="BO96" s="5">
        <f>IF($C$4=$C$3,1.4*$C$3,IF($BN$4&gt;0,MAX($C$3,1.4*BN4),IF($BN$4&lt;0,1.4*$C$3)))</f>
        <v>4.199999999999999</v>
      </c>
      <c r="BT96" s="6" t="s">
        <v>24</v>
      </c>
      <c r="BV96" s="1" t="s">
        <v>11</v>
      </c>
      <c r="BW96" s="8"/>
    </row>
    <row r="97" spans="66:75" ht="15.75">
      <c r="BN97" s="29" t="s">
        <v>63</v>
      </c>
      <c r="BO97" s="5">
        <f>MIN(IF($C$3=$C$4,-C6/C4*BO96-$C$2/2,IF($BN$4&gt;0,MIN(-($C$2/2+$BN$7)/$BN$4*BO96+$C$2/2,-($C$6+$BN$7)/$BN$4*BO96+$C$6),IF($BN$4&lt;0,(ABS($BN$7)+$C$2/2)/$BN$4*BO96-$C$2/2))),-C2/2)</f>
        <v>-0.6099999999999997</v>
      </c>
      <c r="BV97" s="1" t="s">
        <v>12</v>
      </c>
      <c r="BW97" s="8"/>
    </row>
    <row r="98" spans="66:75" ht="15.75">
      <c r="BN98" s="29" t="s">
        <v>65</v>
      </c>
      <c r="BO98" s="5">
        <f>MAX(C2/2,MAX((IF(ISERROR(BN4),BP27*BO95+C6,IF($BN$4&gt;0,MAX(C2/2,C6,($C$2/2-$BN$7)/$BN$4*BO95-$C$2/2),IF($BN$4&lt;0,MAX(ABS(BN7),($C$2/2-ABS(BN7))/ABS(BN4)*BO96+$C$2/2)))))))</f>
        <v>1</v>
      </c>
      <c r="BV98" s="1" t="s">
        <v>13</v>
      </c>
      <c r="BW98" s="8">
        <f>BW27</f>
        <v>0</v>
      </c>
    </row>
    <row r="99" spans="66:75" ht="15.75">
      <c r="BN99" s="1" t="s">
        <v>64</v>
      </c>
      <c r="BO99" s="10">
        <f>MAX(ABS(BO97),ABS(BO98))</f>
        <v>1</v>
      </c>
      <c r="BV99" s="1" t="s">
        <v>14</v>
      </c>
      <c r="BW99" s="8"/>
    </row>
    <row r="100" spans="67:75" ht="15.75">
      <c r="BO100" s="7" t="s">
        <v>3</v>
      </c>
      <c r="BP100" s="7" t="s">
        <v>4</v>
      </c>
      <c r="BT100" s="7"/>
      <c r="BV100" s="7" t="s">
        <v>3</v>
      </c>
      <c r="BW100" s="8" t="s">
        <v>4</v>
      </c>
    </row>
    <row r="101" spans="67:75" ht="15.75">
      <c r="BO101" s="7">
        <f>BO95</f>
        <v>-20</v>
      </c>
      <c r="BP101" s="8">
        <f>BO98</f>
        <v>1</v>
      </c>
      <c r="BT101" s="7"/>
      <c r="BU101" s="7"/>
      <c r="BV101" s="5">
        <v>0</v>
      </c>
      <c r="BW101" s="5">
        <f>IF(C3=C4,C6,IF($BN$4&gt;0,0,$BW$98*BV101+$C$6))</f>
        <v>0</v>
      </c>
    </row>
    <row r="102" spans="67:75" ht="15.75">
      <c r="BO102" s="8">
        <f>BO96</f>
        <v>4.199999999999999</v>
      </c>
      <c r="BP102" s="8">
        <f>BO98</f>
        <v>1</v>
      </c>
      <c r="BT102" s="7"/>
      <c r="BU102" s="7"/>
      <c r="BV102" s="5">
        <f>IF(C3=C4,-C4,IF($BN$4&gt;0,0,BN4/5*$H$5))</f>
        <v>0</v>
      </c>
      <c r="BW102" s="5">
        <f>IF(C3=C4,BW98*BV102+C6,IF($BN$4&gt;0,0,$BW$98*BV102+$C$6))</f>
        <v>0</v>
      </c>
    </row>
    <row r="103" spans="67:75" ht="15.75">
      <c r="BO103" s="5">
        <f>BO96</f>
        <v>4.199999999999999</v>
      </c>
      <c r="BP103" s="8">
        <f>BO97</f>
        <v>-0.6099999999999997</v>
      </c>
      <c r="BT103" s="6" t="s">
        <v>25</v>
      </c>
      <c r="BV103" s="1" t="s">
        <v>11</v>
      </c>
      <c r="BW103" s="8"/>
    </row>
    <row r="104" spans="67:75" ht="15.75">
      <c r="BO104" s="8">
        <f>BO95</f>
        <v>-20</v>
      </c>
      <c r="BP104" s="8">
        <f>BO97</f>
        <v>-0.6099999999999997</v>
      </c>
      <c r="BV104" s="1" t="s">
        <v>12</v>
      </c>
      <c r="BW104" s="8"/>
    </row>
    <row r="105" spans="67:75" ht="15.75">
      <c r="BO105" s="7">
        <f>BO95</f>
        <v>-20</v>
      </c>
      <c r="BP105" s="8">
        <f>BO98</f>
        <v>1</v>
      </c>
      <c r="BV105" s="1" t="s">
        <v>13</v>
      </c>
      <c r="BW105" s="8">
        <f>BW42</f>
        <v>0</v>
      </c>
    </row>
    <row r="106" spans="74:75" ht="15.75">
      <c r="BV106" s="1" t="s">
        <v>14</v>
      </c>
      <c r="BW106" s="8"/>
    </row>
    <row r="107" spans="72:75" ht="15.75">
      <c r="BT107" s="7"/>
      <c r="BV107" s="7" t="s">
        <v>3</v>
      </c>
      <c r="BW107" s="8" t="s">
        <v>4</v>
      </c>
    </row>
    <row r="108" spans="72:75" ht="15.75">
      <c r="BT108" s="7"/>
      <c r="BU108" s="7"/>
      <c r="BV108" s="5">
        <f>IF($BN$4&gt;0,0,-C4)</f>
        <v>0</v>
      </c>
      <c r="BW108" s="5">
        <f>IF($BN$4&gt;0,0,$BW$105*BV108)</f>
        <v>0</v>
      </c>
    </row>
    <row r="109" spans="72:75" ht="15.75">
      <c r="BT109" s="7"/>
      <c r="BU109" s="7"/>
      <c r="BV109" s="5">
        <f>IF($BN$4&gt;0,0,BV108+(BN4--C4)/5*$H$5)</f>
        <v>0</v>
      </c>
      <c r="BW109" s="5">
        <f>IF($BN$4&gt;0,0,$BW$105*BV109)</f>
        <v>0</v>
      </c>
    </row>
    <row r="110" spans="72:75" ht="15.75">
      <c r="BT110" s="6" t="s">
        <v>26</v>
      </c>
      <c r="BV110" s="1" t="s">
        <v>11</v>
      </c>
      <c r="BW110" s="8"/>
    </row>
    <row r="111" spans="66:75" ht="15.75">
      <c r="BN111" s="1" t="s">
        <v>61</v>
      </c>
      <c r="BO111" s="7">
        <f>L2</f>
        <v>0</v>
      </c>
      <c r="BV111" s="1" t="s">
        <v>12</v>
      </c>
      <c r="BW111" s="8"/>
    </row>
    <row r="112" spans="66:75" ht="15.75">
      <c r="BN112" s="1" t="s">
        <v>62</v>
      </c>
      <c r="BO112" s="7">
        <f>BV117</f>
        <v>1</v>
      </c>
      <c r="BP112" s="67" t="s">
        <v>82</v>
      </c>
      <c r="BQ112" s="68">
        <f>1/(1/BO113+1/BO116)</f>
        <v>2.678571428571429</v>
      </c>
      <c r="BV112" s="1" t="s">
        <v>13</v>
      </c>
      <c r="BW112" s="8">
        <f>BW59</f>
        <v>0</v>
      </c>
    </row>
    <row r="113" spans="66:75" ht="15.75">
      <c r="BN113" s="1" t="s">
        <v>80</v>
      </c>
      <c r="BO113" s="7">
        <v>25</v>
      </c>
      <c r="BP113" s="69" t="s">
        <v>81</v>
      </c>
      <c r="BQ113" s="70">
        <f>BO116</f>
        <v>3</v>
      </c>
      <c r="BV113" s="1" t="s">
        <v>14</v>
      </c>
      <c r="BW113" s="8"/>
    </row>
    <row r="114" spans="66:75" ht="15.75">
      <c r="BN114" s="30" t="s">
        <v>60</v>
      </c>
      <c r="BO114" s="31">
        <f>IF(1/(1/BO116+1/BO115)&lt;BQ112,BQ112,1/(1/BO116+1/BO115))</f>
        <v>2.678571428571429</v>
      </c>
      <c r="BP114" s="1" t="s">
        <v>0</v>
      </c>
      <c r="BT114" s="7"/>
      <c r="BV114" s="7" t="s">
        <v>3</v>
      </c>
      <c r="BW114" s="8" t="s">
        <v>4</v>
      </c>
    </row>
    <row r="115" spans="66:75" ht="15.75">
      <c r="BN115" s="30" t="s">
        <v>59</v>
      </c>
      <c r="BO115" s="31">
        <f>C4</f>
        <v>20</v>
      </c>
      <c r="BP115" s="1" t="s">
        <v>0</v>
      </c>
      <c r="BT115" s="7"/>
      <c r="BU115" s="7"/>
      <c r="BV115" s="5">
        <v>0</v>
      </c>
      <c r="BW115" s="5">
        <f>IF($BN$4&gt;0,0,$BW$112*BV115+-$BN$7)</f>
        <v>0</v>
      </c>
    </row>
    <row r="116" spans="66:75" ht="15.75">
      <c r="BN116" s="30" t="s">
        <v>58</v>
      </c>
      <c r="BO116" s="31">
        <f>BN4</f>
        <v>3</v>
      </c>
      <c r="BP116" s="1" t="s">
        <v>0</v>
      </c>
      <c r="BT116" s="7"/>
      <c r="BU116" s="7"/>
      <c r="BV116" s="5">
        <f>IF($BN$4&gt;0,0,BV115+BN4/5*$H$5)</f>
        <v>0</v>
      </c>
      <c r="BW116" s="5">
        <f>IF($BN$4&gt;0,0,$BW$112*BV116+-$BN$7)</f>
        <v>0</v>
      </c>
    </row>
    <row r="117" spans="65:76" ht="15.75">
      <c r="BM117" s="6" t="s">
        <v>33</v>
      </c>
      <c r="BO117" s="5">
        <f>BN4</f>
        <v>3</v>
      </c>
      <c r="BP117" s="1" t="s">
        <v>0</v>
      </c>
      <c r="BT117" s="32" t="s">
        <v>84</v>
      </c>
      <c r="BU117" s="33"/>
      <c r="BV117" s="74">
        <v>1</v>
      </c>
      <c r="BW117" s="33"/>
      <c r="BX117" s="33"/>
    </row>
    <row r="118" spans="65:76" ht="15.75">
      <c r="BM118" s="1" t="s">
        <v>31</v>
      </c>
      <c r="BN118" s="3">
        <v>50</v>
      </c>
      <c r="BO118" s="11" t="s">
        <v>32</v>
      </c>
      <c r="BP118" s="8">
        <f>C2/BN118</f>
        <v>0.02</v>
      </c>
      <c r="BQ118" s="5"/>
      <c r="BR118" s="5"/>
      <c r="BT118" s="33" t="s">
        <v>31</v>
      </c>
      <c r="BU118" s="34">
        <v>50</v>
      </c>
      <c r="BV118" s="33" t="s">
        <v>32</v>
      </c>
      <c r="BW118" s="35">
        <f>H2/BU118</f>
        <v>0</v>
      </c>
      <c r="BX118" s="33"/>
    </row>
    <row r="119" spans="65:76" ht="15.75">
      <c r="BM119" s="1" t="s">
        <v>34</v>
      </c>
      <c r="BO119" s="11" t="s">
        <v>32</v>
      </c>
      <c r="BP119" s="12">
        <f>($BO$117-$BN$4)/$BN$4*BP118</f>
        <v>0</v>
      </c>
      <c r="BQ119" s="12"/>
      <c r="BR119" s="12"/>
      <c r="BT119" s="33"/>
      <c r="BU119" s="33"/>
      <c r="BV119" s="35" t="s">
        <v>3</v>
      </c>
      <c r="BW119" s="35" t="s">
        <v>4</v>
      </c>
      <c r="BX119" s="33"/>
    </row>
    <row r="120" spans="67:76" ht="15.75">
      <c r="BO120" s="1" t="s">
        <v>37</v>
      </c>
      <c r="BR120" s="2" t="s">
        <v>38</v>
      </c>
      <c r="BS120" s="2"/>
      <c r="BT120" s="33"/>
      <c r="BU120" s="33">
        <v>0</v>
      </c>
      <c r="BV120" s="36">
        <f>IF($BV$117=0,0,-$C$4)</f>
        <v>-20</v>
      </c>
      <c r="BW120" s="36">
        <f>IF($BV$117=0,0,IF(BV120&lt;0,$C$6,IF(BV120&gt;0,-$BN$7,-$C$2/2+$BP$118*BU120)))</f>
        <v>1</v>
      </c>
      <c r="BX120" s="33"/>
    </row>
    <row r="121" spans="67:76" ht="15.75">
      <c r="BO121" s="7" t="s">
        <v>4</v>
      </c>
      <c r="BP121" s="7" t="s">
        <v>35</v>
      </c>
      <c r="BQ121" s="7" t="s">
        <v>36</v>
      </c>
      <c r="BR121" s="7" t="s">
        <v>3</v>
      </c>
      <c r="BS121" s="7" t="s">
        <v>4</v>
      </c>
      <c r="BT121" s="33"/>
      <c r="BU121" s="33">
        <v>0</v>
      </c>
      <c r="BV121" s="36">
        <f>IF($BV$117=0,0,0)</f>
        <v>0</v>
      </c>
      <c r="BW121" s="36">
        <f>IF($BV$117=0,0,IF(BV121&lt;0,$C$6,IF(BV121&gt;0,-$BN$7,-$C$2/2+$BP$118*BU121)))</f>
        <v>-0.5</v>
      </c>
      <c r="BX121" s="33"/>
    </row>
    <row r="122" spans="66:76" ht="15.75">
      <c r="BN122" s="7">
        <v>0</v>
      </c>
      <c r="BO122" s="5">
        <f aca="true" t="shared" si="10" ref="BO122:BO185">$C$2/2-$BP$118*BN122</f>
        <v>0.5</v>
      </c>
      <c r="BP122" s="38">
        <f>(BO122-$C$2/2)/$C$4</f>
        <v>0</v>
      </c>
      <c r="BQ122" s="13">
        <f>IF($C$3=$C$4,$BW$43,IF($BN$4&gt;0,(-$BN$7-BO122)/$BN$4,IF($BN$4&lt;0,(-$BN$7-BO122)/$BN$4)))</f>
        <v>-0.21666666666666667</v>
      </c>
      <c r="BR122" s="5">
        <f>IF($BV$117=0,0,-$C$4)</f>
        <v>-20</v>
      </c>
      <c r="BS122" s="5">
        <f>IF($BV$117=0,0,IF(BR122&lt;0,$C$6,IF(BR122=0,BO122,BQ122*$BO$117+BO122)))</f>
        <v>1</v>
      </c>
      <c r="BT122" s="33"/>
      <c r="BU122" s="33">
        <v>0</v>
      </c>
      <c r="BV122" s="36">
        <f>IF($BV$117=0,0,IF(AND(BV117=1,L2=0),1.2*$C$3,$BO$117))</f>
        <v>3.2142857142857144</v>
      </c>
      <c r="BW122" s="36">
        <f aca="true" t="shared" si="11" ref="BW122:BW128">IF($BV$117=0,0,IF($C$3=$C$4,BW121+$BW$43*BV122,IF(BV122&lt;0,$C$6,IF(BV122&gt;0,-$BN$7,-$C$2/2+$BP$118*BU122))))</f>
        <v>-0.15</v>
      </c>
      <c r="BX122" s="33"/>
    </row>
    <row r="123" spans="66:76" ht="15.75">
      <c r="BN123" s="7">
        <v>0</v>
      </c>
      <c r="BO123" s="5">
        <f t="shared" si="10"/>
        <v>0.5</v>
      </c>
      <c r="BP123" s="38">
        <f aca="true" t="shared" si="12" ref="BP123:BP186">(BO123-$C$2/2)/$C$4</f>
        <v>0</v>
      </c>
      <c r="BQ123" s="13">
        <f aca="true" t="shared" si="13" ref="BQ123:BQ136">IF($C$3=$C$4,$BW$43,IF($BN$4&gt;0,(-$BN$7-BO123)/$BN$4,IF($BN$4&lt;0,(-$BN$7-BO123)/$BN$4)))</f>
        <v>-0.21666666666666667</v>
      </c>
      <c r="BR123" s="7">
        <f>IF($BV$117=0,0,0)</f>
        <v>0</v>
      </c>
      <c r="BS123" s="5">
        <f>IF($BV$117=0,0,IF(BR123&lt;0,$C$6,IF(BR123=0,BO123,BQ123*$BO$117+BO123)))</f>
        <v>0.5</v>
      </c>
      <c r="BT123" s="39"/>
      <c r="BU123" s="33">
        <f>IF(BV123=0,BU122+1,BU122)</f>
        <v>0</v>
      </c>
      <c r="BV123" s="36">
        <f>BV120</f>
        <v>-20</v>
      </c>
      <c r="BW123" s="36">
        <f t="shared" si="11"/>
        <v>1</v>
      </c>
      <c r="BX123" s="33"/>
    </row>
    <row r="124" spans="66:76" ht="15.75">
      <c r="BN124" s="7">
        <v>0</v>
      </c>
      <c r="BO124" s="5">
        <f t="shared" si="10"/>
        <v>0.5</v>
      </c>
      <c r="BP124" s="38">
        <f t="shared" si="12"/>
        <v>0</v>
      </c>
      <c r="BQ124" s="13">
        <f t="shared" si="13"/>
        <v>-0.21666666666666667</v>
      </c>
      <c r="BR124" s="5">
        <f>IF(BV117=0,0,BO117)</f>
        <v>3</v>
      </c>
      <c r="BS124" s="5">
        <f aca="true" t="shared" si="14" ref="BS124:BS187">IF($BV$117=0,0,IF(BR124&lt;0,$C$6,IF(BR124=0,BO124,BQ124*BR124+BO124)))</f>
        <v>-0.15000000000000002</v>
      </c>
      <c r="BT124" s="39"/>
      <c r="BU124" s="33">
        <f>IF(BV124=0,BU121+1,0)</f>
        <v>1</v>
      </c>
      <c r="BV124" s="36">
        <f aca="true" t="shared" si="15" ref="BV124:BV187">BV121</f>
        <v>0</v>
      </c>
      <c r="BW124" s="36">
        <f t="shared" si="11"/>
        <v>-0.48</v>
      </c>
      <c r="BX124" s="33"/>
    </row>
    <row r="125" spans="66:76" ht="15.75">
      <c r="BN125" s="7">
        <v>0</v>
      </c>
      <c r="BO125" s="5">
        <f t="shared" si="10"/>
        <v>0.5</v>
      </c>
      <c r="BP125" s="38">
        <f t="shared" si="12"/>
        <v>0</v>
      </c>
      <c r="BQ125" s="13">
        <f t="shared" si="13"/>
        <v>-0.21666666666666667</v>
      </c>
      <c r="BR125" s="5">
        <f>IF(BV117=0,0,0)</f>
        <v>0</v>
      </c>
      <c r="BS125" s="5">
        <f t="shared" si="14"/>
        <v>0.5</v>
      </c>
      <c r="BT125" s="39"/>
      <c r="BU125" s="33">
        <f aca="true" t="shared" si="16" ref="BU125:BU188">IF(BV125=0,BU122+1,0)</f>
        <v>0</v>
      </c>
      <c r="BV125" s="36">
        <f t="shared" si="15"/>
        <v>3.2142857142857144</v>
      </c>
      <c r="BW125" s="36">
        <f t="shared" si="11"/>
        <v>-0.15</v>
      </c>
      <c r="BX125" s="33"/>
    </row>
    <row r="126" spans="66:76" ht="15.75">
      <c r="BN126" s="7">
        <f>BN122+1</f>
        <v>1</v>
      </c>
      <c r="BO126" s="5">
        <f t="shared" si="10"/>
        <v>0.48</v>
      </c>
      <c r="BP126" s="38">
        <f t="shared" si="12"/>
        <v>-0.0010000000000000009</v>
      </c>
      <c r="BQ126" s="13">
        <f t="shared" si="13"/>
        <v>-0.21</v>
      </c>
      <c r="BR126" s="5">
        <f>BR122</f>
        <v>-20</v>
      </c>
      <c r="BS126" s="5">
        <f t="shared" si="14"/>
        <v>1</v>
      </c>
      <c r="BT126" s="39"/>
      <c r="BU126" s="33">
        <f t="shared" si="16"/>
        <v>0</v>
      </c>
      <c r="BV126" s="36">
        <f t="shared" si="15"/>
        <v>-20</v>
      </c>
      <c r="BW126" s="36">
        <f t="shared" si="11"/>
        <v>1</v>
      </c>
      <c r="BX126" s="33"/>
    </row>
    <row r="127" spans="66:76" ht="15.75">
      <c r="BN127" s="7">
        <f aca="true" t="shared" si="17" ref="BN127:BN190">BN123+1</f>
        <v>1</v>
      </c>
      <c r="BO127" s="5">
        <f t="shared" si="10"/>
        <v>0.48</v>
      </c>
      <c r="BP127" s="38">
        <f t="shared" si="12"/>
        <v>-0.0010000000000000009</v>
      </c>
      <c r="BQ127" s="13">
        <f t="shared" si="13"/>
        <v>-0.21</v>
      </c>
      <c r="BR127" s="5">
        <f aca="true" t="shared" si="18" ref="BR127:BR190">BR123</f>
        <v>0</v>
      </c>
      <c r="BS127" s="5">
        <f t="shared" si="14"/>
        <v>0.48</v>
      </c>
      <c r="BT127" s="39"/>
      <c r="BU127" s="33">
        <f t="shared" si="16"/>
        <v>2</v>
      </c>
      <c r="BV127" s="36">
        <f t="shared" si="15"/>
        <v>0</v>
      </c>
      <c r="BW127" s="36">
        <f t="shared" si="11"/>
        <v>-0.46</v>
      </c>
      <c r="BX127" s="33"/>
    </row>
    <row r="128" spans="66:76" ht="15.75">
      <c r="BN128" s="7">
        <f t="shared" si="17"/>
        <v>1</v>
      </c>
      <c r="BO128" s="5">
        <f t="shared" si="10"/>
        <v>0.48</v>
      </c>
      <c r="BP128" s="38">
        <f t="shared" si="12"/>
        <v>-0.0010000000000000009</v>
      </c>
      <c r="BQ128" s="13">
        <f t="shared" si="13"/>
        <v>-0.21</v>
      </c>
      <c r="BR128" s="5">
        <f t="shared" si="18"/>
        <v>3</v>
      </c>
      <c r="BS128" s="5">
        <f t="shared" si="14"/>
        <v>-0.15000000000000002</v>
      </c>
      <c r="BT128" s="39"/>
      <c r="BU128" s="33">
        <f t="shared" si="16"/>
        <v>0</v>
      </c>
      <c r="BV128" s="36">
        <f t="shared" si="15"/>
        <v>3.2142857142857144</v>
      </c>
      <c r="BW128" s="36">
        <f t="shared" si="11"/>
        <v>-0.15</v>
      </c>
      <c r="BX128" s="33"/>
    </row>
    <row r="129" spans="66:76" ht="15.75">
      <c r="BN129" s="7">
        <f t="shared" si="17"/>
        <v>1</v>
      </c>
      <c r="BO129" s="5">
        <f t="shared" si="10"/>
        <v>0.48</v>
      </c>
      <c r="BP129" s="38">
        <f t="shared" si="12"/>
        <v>-0.0010000000000000009</v>
      </c>
      <c r="BQ129" s="13">
        <f t="shared" si="13"/>
        <v>-0.21</v>
      </c>
      <c r="BR129" s="5">
        <f t="shared" si="18"/>
        <v>0</v>
      </c>
      <c r="BS129" s="5">
        <f t="shared" si="14"/>
        <v>0.48</v>
      </c>
      <c r="BT129" s="39"/>
      <c r="BU129" s="33">
        <f t="shared" si="16"/>
        <v>0</v>
      </c>
      <c r="BV129" s="36">
        <f t="shared" si="15"/>
        <v>-20</v>
      </c>
      <c r="BW129" s="36">
        <f aca="true" t="shared" si="19" ref="BW129:BW160">IF($BV$117=0,0,IF(BV129&lt;0,$C$6,IF(BV129&gt;0,-$BN$7,-$C$2/2+$BP$118*BU129)))</f>
        <v>1</v>
      </c>
      <c r="BX129" s="33"/>
    </row>
    <row r="130" spans="66:76" ht="15.75">
      <c r="BN130" s="7">
        <f t="shared" si="17"/>
        <v>2</v>
      </c>
      <c r="BO130" s="5">
        <f t="shared" si="10"/>
        <v>0.46</v>
      </c>
      <c r="BP130" s="38">
        <f t="shared" si="12"/>
        <v>-0.001999999999999999</v>
      </c>
      <c r="BQ130" s="13">
        <f t="shared" si="13"/>
        <v>-0.20333333333333334</v>
      </c>
      <c r="BR130" s="5">
        <f t="shared" si="18"/>
        <v>-20</v>
      </c>
      <c r="BS130" s="5">
        <f t="shared" si="14"/>
        <v>1</v>
      </c>
      <c r="BT130" s="39"/>
      <c r="BU130" s="33">
        <f t="shared" si="16"/>
        <v>3</v>
      </c>
      <c r="BV130" s="36">
        <f t="shared" si="15"/>
        <v>0</v>
      </c>
      <c r="BW130" s="36">
        <f t="shared" si="19"/>
        <v>-0.44</v>
      </c>
      <c r="BX130" s="33"/>
    </row>
    <row r="131" spans="66:76" ht="15.75">
      <c r="BN131" s="7">
        <f t="shared" si="17"/>
        <v>2</v>
      </c>
      <c r="BO131" s="5">
        <f t="shared" si="10"/>
        <v>0.46</v>
      </c>
      <c r="BP131" s="38">
        <f t="shared" si="12"/>
        <v>-0.001999999999999999</v>
      </c>
      <c r="BQ131" s="13">
        <f t="shared" si="13"/>
        <v>-0.20333333333333334</v>
      </c>
      <c r="BR131" s="5">
        <f t="shared" si="18"/>
        <v>0</v>
      </c>
      <c r="BS131" s="5">
        <f t="shared" si="14"/>
        <v>0.46</v>
      </c>
      <c r="BT131" s="39"/>
      <c r="BU131" s="33">
        <f t="shared" si="16"/>
        <v>0</v>
      </c>
      <c r="BV131" s="36">
        <f t="shared" si="15"/>
        <v>3.2142857142857144</v>
      </c>
      <c r="BW131" s="36">
        <f t="shared" si="19"/>
        <v>-0.15</v>
      </c>
      <c r="BX131" s="33"/>
    </row>
    <row r="132" spans="66:76" ht="15.75">
      <c r="BN132" s="7">
        <f t="shared" si="17"/>
        <v>2</v>
      </c>
      <c r="BO132" s="5">
        <f t="shared" si="10"/>
        <v>0.46</v>
      </c>
      <c r="BP132" s="38">
        <f t="shared" si="12"/>
        <v>-0.001999999999999999</v>
      </c>
      <c r="BQ132" s="13">
        <f t="shared" si="13"/>
        <v>-0.20333333333333334</v>
      </c>
      <c r="BR132" s="5">
        <f t="shared" si="18"/>
        <v>3</v>
      </c>
      <c r="BS132" s="5">
        <f t="shared" si="14"/>
        <v>-0.14999999999999997</v>
      </c>
      <c r="BT132" s="39"/>
      <c r="BU132" s="33">
        <f t="shared" si="16"/>
        <v>0</v>
      </c>
      <c r="BV132" s="36">
        <f t="shared" si="15"/>
        <v>-20</v>
      </c>
      <c r="BW132" s="36">
        <f t="shared" si="19"/>
        <v>1</v>
      </c>
      <c r="BX132" s="33"/>
    </row>
    <row r="133" spans="66:76" ht="15.75">
      <c r="BN133" s="7">
        <f t="shared" si="17"/>
        <v>2</v>
      </c>
      <c r="BO133" s="5">
        <f t="shared" si="10"/>
        <v>0.46</v>
      </c>
      <c r="BP133" s="38">
        <f t="shared" si="12"/>
        <v>-0.001999999999999999</v>
      </c>
      <c r="BQ133" s="13">
        <f>IF($C$3=$C$4,$BW$43,IF($BN$4&gt;0,(-$BN$7-BO133)/$BN$4,IF($BN$4&lt;0,(-$BN$7-BO133)/$BN$4)))</f>
        <v>-0.20333333333333334</v>
      </c>
      <c r="BR133" s="5">
        <f t="shared" si="18"/>
        <v>0</v>
      </c>
      <c r="BS133" s="5">
        <f t="shared" si="14"/>
        <v>0.46</v>
      </c>
      <c r="BT133" s="39"/>
      <c r="BU133" s="33">
        <f t="shared" si="16"/>
        <v>4</v>
      </c>
      <c r="BV133" s="36">
        <f t="shared" si="15"/>
        <v>0</v>
      </c>
      <c r="BW133" s="36">
        <f t="shared" si="19"/>
        <v>-0.42</v>
      </c>
      <c r="BX133" s="33"/>
    </row>
    <row r="134" spans="66:76" ht="15.75">
      <c r="BN134" s="7">
        <f t="shared" si="17"/>
        <v>3</v>
      </c>
      <c r="BO134" s="5">
        <f t="shared" si="10"/>
        <v>0.44</v>
      </c>
      <c r="BP134" s="38">
        <f t="shared" si="12"/>
        <v>-0.003</v>
      </c>
      <c r="BQ134" s="13">
        <f t="shared" si="13"/>
        <v>-0.19666666666666666</v>
      </c>
      <c r="BR134" s="5">
        <f t="shared" si="18"/>
        <v>-20</v>
      </c>
      <c r="BS134" s="5">
        <f t="shared" si="14"/>
        <v>1</v>
      </c>
      <c r="BT134" s="39"/>
      <c r="BU134" s="33">
        <f t="shared" si="16"/>
        <v>0</v>
      </c>
      <c r="BV134" s="36">
        <f t="shared" si="15"/>
        <v>3.2142857142857144</v>
      </c>
      <c r="BW134" s="36">
        <f t="shared" si="19"/>
        <v>-0.15</v>
      </c>
      <c r="BX134" s="33"/>
    </row>
    <row r="135" spans="66:76" ht="15.75">
      <c r="BN135" s="7">
        <f t="shared" si="17"/>
        <v>3</v>
      </c>
      <c r="BO135" s="5">
        <f t="shared" si="10"/>
        <v>0.44</v>
      </c>
      <c r="BP135" s="38">
        <f t="shared" si="12"/>
        <v>-0.003</v>
      </c>
      <c r="BQ135" s="13">
        <f t="shared" si="13"/>
        <v>-0.19666666666666666</v>
      </c>
      <c r="BR135" s="5">
        <f t="shared" si="18"/>
        <v>0</v>
      </c>
      <c r="BS135" s="5">
        <f t="shared" si="14"/>
        <v>0.44</v>
      </c>
      <c r="BT135" s="39"/>
      <c r="BU135" s="33">
        <f t="shared" si="16"/>
        <v>0</v>
      </c>
      <c r="BV135" s="36">
        <f t="shared" si="15"/>
        <v>-20</v>
      </c>
      <c r="BW135" s="36">
        <f t="shared" si="19"/>
        <v>1</v>
      </c>
      <c r="BX135" s="33"/>
    </row>
    <row r="136" spans="66:76" ht="15.75">
      <c r="BN136" s="7">
        <f t="shared" si="17"/>
        <v>3</v>
      </c>
      <c r="BO136" s="5">
        <f t="shared" si="10"/>
        <v>0.44</v>
      </c>
      <c r="BP136" s="38">
        <f t="shared" si="12"/>
        <v>-0.003</v>
      </c>
      <c r="BQ136" s="13">
        <f t="shared" si="13"/>
        <v>-0.19666666666666666</v>
      </c>
      <c r="BR136" s="5">
        <f t="shared" si="18"/>
        <v>3</v>
      </c>
      <c r="BS136" s="5">
        <f t="shared" si="14"/>
        <v>-0.14999999999999997</v>
      </c>
      <c r="BT136" s="39"/>
      <c r="BU136" s="33">
        <f t="shared" si="16"/>
        <v>5</v>
      </c>
      <c r="BV136" s="36">
        <f t="shared" si="15"/>
        <v>0</v>
      </c>
      <c r="BW136" s="36">
        <f t="shared" si="19"/>
        <v>-0.4</v>
      </c>
      <c r="BX136" s="33"/>
    </row>
    <row r="137" spans="66:76" ht="15.75">
      <c r="BN137" s="7">
        <f t="shared" si="17"/>
        <v>3</v>
      </c>
      <c r="BO137" s="5">
        <f t="shared" si="10"/>
        <v>0.44</v>
      </c>
      <c r="BP137" s="38">
        <f t="shared" si="12"/>
        <v>-0.003</v>
      </c>
      <c r="BQ137" s="13">
        <f aca="true" t="shared" si="20" ref="BQ137:BQ200">IF($C$3=$C$4,$BW$43,(-$BN$7-BO137)/$BN$4)</f>
        <v>-0.19666666666666666</v>
      </c>
      <c r="BR137" s="5">
        <f t="shared" si="18"/>
        <v>0</v>
      </c>
      <c r="BS137" s="5">
        <f t="shared" si="14"/>
        <v>0.44</v>
      </c>
      <c r="BT137" s="39"/>
      <c r="BU137" s="33">
        <f t="shared" si="16"/>
        <v>0</v>
      </c>
      <c r="BV137" s="36">
        <f t="shared" si="15"/>
        <v>3.2142857142857144</v>
      </c>
      <c r="BW137" s="36">
        <f t="shared" si="19"/>
        <v>-0.15</v>
      </c>
      <c r="BX137" s="33"/>
    </row>
    <row r="138" spans="66:76" ht="15.75">
      <c r="BN138" s="7">
        <f t="shared" si="17"/>
        <v>4</v>
      </c>
      <c r="BO138" s="5">
        <f t="shared" si="10"/>
        <v>0.42</v>
      </c>
      <c r="BP138" s="38">
        <f t="shared" si="12"/>
        <v>-0.004000000000000001</v>
      </c>
      <c r="BQ138" s="13">
        <f t="shared" si="20"/>
        <v>-0.18999999999999997</v>
      </c>
      <c r="BR138" s="5">
        <f t="shared" si="18"/>
        <v>-20</v>
      </c>
      <c r="BS138" s="5">
        <f t="shared" si="14"/>
        <v>1</v>
      </c>
      <c r="BT138" s="39"/>
      <c r="BU138" s="33">
        <f t="shared" si="16"/>
        <v>0</v>
      </c>
      <c r="BV138" s="36">
        <f t="shared" si="15"/>
        <v>-20</v>
      </c>
      <c r="BW138" s="36">
        <f t="shared" si="19"/>
        <v>1</v>
      </c>
      <c r="BX138" s="33"/>
    </row>
    <row r="139" spans="66:76" ht="15.75">
      <c r="BN139" s="7">
        <f t="shared" si="17"/>
        <v>4</v>
      </c>
      <c r="BO139" s="5">
        <f t="shared" si="10"/>
        <v>0.42</v>
      </c>
      <c r="BP139" s="38">
        <f t="shared" si="12"/>
        <v>-0.004000000000000001</v>
      </c>
      <c r="BQ139" s="13">
        <f t="shared" si="20"/>
        <v>-0.18999999999999997</v>
      </c>
      <c r="BR139" s="5">
        <f t="shared" si="18"/>
        <v>0</v>
      </c>
      <c r="BS139" s="5">
        <f t="shared" si="14"/>
        <v>0.42</v>
      </c>
      <c r="BT139" s="39"/>
      <c r="BU139" s="33">
        <f t="shared" si="16"/>
        <v>6</v>
      </c>
      <c r="BV139" s="36">
        <f t="shared" si="15"/>
        <v>0</v>
      </c>
      <c r="BW139" s="36">
        <f t="shared" si="19"/>
        <v>-0.38</v>
      </c>
      <c r="BX139" s="33"/>
    </row>
    <row r="140" spans="66:76" ht="15.75">
      <c r="BN140" s="7">
        <f t="shared" si="17"/>
        <v>4</v>
      </c>
      <c r="BO140" s="5">
        <f t="shared" si="10"/>
        <v>0.42</v>
      </c>
      <c r="BP140" s="13">
        <f t="shared" si="12"/>
        <v>-0.004000000000000001</v>
      </c>
      <c r="BQ140" s="13">
        <f t="shared" si="20"/>
        <v>-0.18999999999999997</v>
      </c>
      <c r="BR140" s="5">
        <f t="shared" si="18"/>
        <v>3</v>
      </c>
      <c r="BS140" s="5">
        <f t="shared" si="14"/>
        <v>-0.14999999999999997</v>
      </c>
      <c r="BT140" s="39"/>
      <c r="BU140" s="33">
        <f t="shared" si="16"/>
        <v>0</v>
      </c>
      <c r="BV140" s="36">
        <f t="shared" si="15"/>
        <v>3.2142857142857144</v>
      </c>
      <c r="BW140" s="36">
        <f t="shared" si="19"/>
        <v>-0.15</v>
      </c>
      <c r="BX140" s="33"/>
    </row>
    <row r="141" spans="66:76" ht="15.75">
      <c r="BN141" s="7">
        <f t="shared" si="17"/>
        <v>4</v>
      </c>
      <c r="BO141" s="5">
        <f t="shared" si="10"/>
        <v>0.42</v>
      </c>
      <c r="BP141" s="13">
        <f t="shared" si="12"/>
        <v>-0.004000000000000001</v>
      </c>
      <c r="BQ141" s="13">
        <f t="shared" si="20"/>
        <v>-0.18999999999999997</v>
      </c>
      <c r="BR141" s="5">
        <f t="shared" si="18"/>
        <v>0</v>
      </c>
      <c r="BS141" s="5">
        <f t="shared" si="14"/>
        <v>0.42</v>
      </c>
      <c r="BT141" s="39"/>
      <c r="BU141" s="33">
        <f t="shared" si="16"/>
        <v>0</v>
      </c>
      <c r="BV141" s="36">
        <f t="shared" si="15"/>
        <v>-20</v>
      </c>
      <c r="BW141" s="36">
        <f t="shared" si="19"/>
        <v>1</v>
      </c>
      <c r="BX141" s="33"/>
    </row>
    <row r="142" spans="66:76" ht="15.75">
      <c r="BN142" s="7">
        <f t="shared" si="17"/>
        <v>5</v>
      </c>
      <c r="BO142" s="5">
        <f t="shared" si="10"/>
        <v>0.4</v>
      </c>
      <c r="BP142" s="13">
        <f t="shared" si="12"/>
        <v>-0.004999999999999999</v>
      </c>
      <c r="BQ142" s="13">
        <f t="shared" si="20"/>
        <v>-0.18333333333333335</v>
      </c>
      <c r="BR142" s="5">
        <f t="shared" si="18"/>
        <v>-20</v>
      </c>
      <c r="BS142" s="5">
        <f t="shared" si="14"/>
        <v>1</v>
      </c>
      <c r="BT142" s="39"/>
      <c r="BU142" s="33">
        <f t="shared" si="16"/>
        <v>7</v>
      </c>
      <c r="BV142" s="36">
        <f t="shared" si="15"/>
        <v>0</v>
      </c>
      <c r="BW142" s="36">
        <f t="shared" si="19"/>
        <v>-0.36</v>
      </c>
      <c r="BX142" s="33"/>
    </row>
    <row r="143" spans="66:76" ht="15.75">
      <c r="BN143" s="7">
        <f t="shared" si="17"/>
        <v>5</v>
      </c>
      <c r="BO143" s="5">
        <f t="shared" si="10"/>
        <v>0.4</v>
      </c>
      <c r="BP143" s="13">
        <f t="shared" si="12"/>
        <v>-0.004999999999999999</v>
      </c>
      <c r="BQ143" s="13">
        <f t="shared" si="20"/>
        <v>-0.18333333333333335</v>
      </c>
      <c r="BR143" s="5">
        <f t="shared" si="18"/>
        <v>0</v>
      </c>
      <c r="BS143" s="5">
        <f t="shared" si="14"/>
        <v>0.4</v>
      </c>
      <c r="BT143" s="39"/>
      <c r="BU143" s="33">
        <f t="shared" si="16"/>
        <v>0</v>
      </c>
      <c r="BV143" s="36">
        <f t="shared" si="15"/>
        <v>3.2142857142857144</v>
      </c>
      <c r="BW143" s="36">
        <f t="shared" si="19"/>
        <v>-0.15</v>
      </c>
      <c r="BX143" s="33"/>
    </row>
    <row r="144" spans="66:76" ht="15.75">
      <c r="BN144" s="7">
        <f t="shared" si="17"/>
        <v>5</v>
      </c>
      <c r="BO144" s="5">
        <f t="shared" si="10"/>
        <v>0.4</v>
      </c>
      <c r="BP144" s="13">
        <f t="shared" si="12"/>
        <v>-0.004999999999999999</v>
      </c>
      <c r="BQ144" s="13">
        <f t="shared" si="20"/>
        <v>-0.18333333333333335</v>
      </c>
      <c r="BR144" s="5">
        <f t="shared" si="18"/>
        <v>3</v>
      </c>
      <c r="BS144" s="5">
        <f t="shared" si="14"/>
        <v>-0.15000000000000002</v>
      </c>
      <c r="BT144" s="39"/>
      <c r="BU144" s="33">
        <f t="shared" si="16"/>
        <v>0</v>
      </c>
      <c r="BV144" s="36">
        <f t="shared" si="15"/>
        <v>-20</v>
      </c>
      <c r="BW144" s="36">
        <f t="shared" si="19"/>
        <v>1</v>
      </c>
      <c r="BX144" s="33"/>
    </row>
    <row r="145" spans="66:76" ht="15.75">
      <c r="BN145" s="7">
        <f t="shared" si="17"/>
        <v>5</v>
      </c>
      <c r="BO145" s="5">
        <f t="shared" si="10"/>
        <v>0.4</v>
      </c>
      <c r="BP145" s="13">
        <f t="shared" si="12"/>
        <v>-0.004999999999999999</v>
      </c>
      <c r="BQ145" s="13">
        <f t="shared" si="20"/>
        <v>-0.18333333333333335</v>
      </c>
      <c r="BR145" s="5">
        <f t="shared" si="18"/>
        <v>0</v>
      </c>
      <c r="BS145" s="5">
        <f t="shared" si="14"/>
        <v>0.4</v>
      </c>
      <c r="BT145" s="39"/>
      <c r="BU145" s="33">
        <f t="shared" si="16"/>
        <v>8</v>
      </c>
      <c r="BV145" s="36">
        <f t="shared" si="15"/>
        <v>0</v>
      </c>
      <c r="BW145" s="36">
        <f t="shared" si="19"/>
        <v>-0.33999999999999997</v>
      </c>
      <c r="BX145" s="33"/>
    </row>
    <row r="146" spans="66:76" ht="15.75">
      <c r="BN146" s="7">
        <f t="shared" si="17"/>
        <v>6</v>
      </c>
      <c r="BO146" s="5">
        <f t="shared" si="10"/>
        <v>0.38</v>
      </c>
      <c r="BP146" s="13">
        <f t="shared" si="12"/>
        <v>-0.006</v>
      </c>
      <c r="BQ146" s="13">
        <f t="shared" si="20"/>
        <v>-0.17666666666666667</v>
      </c>
      <c r="BR146" s="5">
        <f t="shared" si="18"/>
        <v>-20</v>
      </c>
      <c r="BS146" s="5">
        <f t="shared" si="14"/>
        <v>1</v>
      </c>
      <c r="BT146" s="39"/>
      <c r="BU146" s="33">
        <f t="shared" si="16"/>
        <v>0</v>
      </c>
      <c r="BV146" s="36">
        <f t="shared" si="15"/>
        <v>3.2142857142857144</v>
      </c>
      <c r="BW146" s="36">
        <f t="shared" si="19"/>
        <v>-0.15</v>
      </c>
      <c r="BX146" s="33"/>
    </row>
    <row r="147" spans="66:76" ht="15.75">
      <c r="BN147" s="7">
        <f t="shared" si="17"/>
        <v>6</v>
      </c>
      <c r="BO147" s="5">
        <f t="shared" si="10"/>
        <v>0.38</v>
      </c>
      <c r="BP147" s="13">
        <f t="shared" si="12"/>
        <v>-0.006</v>
      </c>
      <c r="BQ147" s="13">
        <f t="shared" si="20"/>
        <v>-0.17666666666666667</v>
      </c>
      <c r="BR147" s="5">
        <f t="shared" si="18"/>
        <v>0</v>
      </c>
      <c r="BS147" s="5">
        <f t="shared" si="14"/>
        <v>0.38</v>
      </c>
      <c r="BT147" s="39"/>
      <c r="BU147" s="33">
        <f t="shared" si="16"/>
        <v>0</v>
      </c>
      <c r="BV147" s="36">
        <f t="shared" si="15"/>
        <v>-20</v>
      </c>
      <c r="BW147" s="36">
        <f t="shared" si="19"/>
        <v>1</v>
      </c>
      <c r="BX147" s="33"/>
    </row>
    <row r="148" spans="66:76" ht="15.75">
      <c r="BN148" s="7">
        <f t="shared" si="17"/>
        <v>6</v>
      </c>
      <c r="BO148" s="5">
        <f t="shared" si="10"/>
        <v>0.38</v>
      </c>
      <c r="BP148" s="13">
        <f t="shared" si="12"/>
        <v>-0.006</v>
      </c>
      <c r="BQ148" s="13">
        <f t="shared" si="20"/>
        <v>-0.17666666666666667</v>
      </c>
      <c r="BR148" s="5">
        <f t="shared" si="18"/>
        <v>3</v>
      </c>
      <c r="BS148" s="5">
        <f t="shared" si="14"/>
        <v>-0.15000000000000002</v>
      </c>
      <c r="BT148" s="33"/>
      <c r="BU148" s="33">
        <f t="shared" si="16"/>
        <v>9</v>
      </c>
      <c r="BV148" s="36">
        <f t="shared" si="15"/>
        <v>0</v>
      </c>
      <c r="BW148" s="36">
        <f t="shared" si="19"/>
        <v>-0.32</v>
      </c>
      <c r="BX148" s="33"/>
    </row>
    <row r="149" spans="66:76" ht="15.75">
      <c r="BN149" s="7">
        <f t="shared" si="17"/>
        <v>6</v>
      </c>
      <c r="BO149" s="5">
        <f t="shared" si="10"/>
        <v>0.38</v>
      </c>
      <c r="BP149" s="13">
        <f t="shared" si="12"/>
        <v>-0.006</v>
      </c>
      <c r="BQ149" s="13">
        <f t="shared" si="20"/>
        <v>-0.17666666666666667</v>
      </c>
      <c r="BR149" s="5">
        <f t="shared" si="18"/>
        <v>0</v>
      </c>
      <c r="BS149" s="5">
        <f t="shared" si="14"/>
        <v>0.38</v>
      </c>
      <c r="BT149" s="33"/>
      <c r="BU149" s="33">
        <f t="shared" si="16"/>
        <v>0</v>
      </c>
      <c r="BV149" s="36">
        <f t="shared" si="15"/>
        <v>3.2142857142857144</v>
      </c>
      <c r="BW149" s="36">
        <f t="shared" si="19"/>
        <v>-0.15</v>
      </c>
      <c r="BX149" s="33"/>
    </row>
    <row r="150" spans="66:76" ht="15.75">
      <c r="BN150" s="7">
        <f t="shared" si="17"/>
        <v>7</v>
      </c>
      <c r="BO150" s="5">
        <f t="shared" si="10"/>
        <v>0.36</v>
      </c>
      <c r="BP150" s="13">
        <f t="shared" si="12"/>
        <v>-0.007000000000000001</v>
      </c>
      <c r="BQ150" s="13">
        <f t="shared" si="20"/>
        <v>-0.17</v>
      </c>
      <c r="BR150" s="5">
        <f t="shared" si="18"/>
        <v>-20</v>
      </c>
      <c r="BS150" s="5">
        <f t="shared" si="14"/>
        <v>1</v>
      </c>
      <c r="BT150" s="33"/>
      <c r="BU150" s="33">
        <f t="shared" si="16"/>
        <v>0</v>
      </c>
      <c r="BV150" s="36">
        <f t="shared" si="15"/>
        <v>-20</v>
      </c>
      <c r="BW150" s="36">
        <f t="shared" si="19"/>
        <v>1</v>
      </c>
      <c r="BX150" s="33"/>
    </row>
    <row r="151" spans="66:76" ht="15.75">
      <c r="BN151" s="7">
        <f t="shared" si="17"/>
        <v>7</v>
      </c>
      <c r="BO151" s="5">
        <f t="shared" si="10"/>
        <v>0.36</v>
      </c>
      <c r="BP151" s="13">
        <f t="shared" si="12"/>
        <v>-0.007000000000000001</v>
      </c>
      <c r="BQ151" s="13">
        <f t="shared" si="20"/>
        <v>-0.17</v>
      </c>
      <c r="BR151" s="5">
        <f t="shared" si="18"/>
        <v>0</v>
      </c>
      <c r="BS151" s="5">
        <f t="shared" si="14"/>
        <v>0.36</v>
      </c>
      <c r="BT151" s="33"/>
      <c r="BU151" s="33">
        <f t="shared" si="16"/>
        <v>10</v>
      </c>
      <c r="BV151" s="36">
        <f t="shared" si="15"/>
        <v>0</v>
      </c>
      <c r="BW151" s="36">
        <f t="shared" si="19"/>
        <v>-0.3</v>
      </c>
      <c r="BX151" s="33"/>
    </row>
    <row r="152" spans="66:76" ht="15.75">
      <c r="BN152" s="7">
        <f t="shared" si="17"/>
        <v>7</v>
      </c>
      <c r="BO152" s="5">
        <f t="shared" si="10"/>
        <v>0.36</v>
      </c>
      <c r="BP152" s="13">
        <f t="shared" si="12"/>
        <v>-0.007000000000000001</v>
      </c>
      <c r="BQ152" s="13">
        <f t="shared" si="20"/>
        <v>-0.17</v>
      </c>
      <c r="BR152" s="5">
        <f t="shared" si="18"/>
        <v>3</v>
      </c>
      <c r="BS152" s="5">
        <f t="shared" si="14"/>
        <v>-0.15000000000000002</v>
      </c>
      <c r="BT152" s="33"/>
      <c r="BU152" s="33">
        <f t="shared" si="16"/>
        <v>0</v>
      </c>
      <c r="BV152" s="36">
        <f t="shared" si="15"/>
        <v>3.2142857142857144</v>
      </c>
      <c r="BW152" s="36">
        <f t="shared" si="19"/>
        <v>-0.15</v>
      </c>
      <c r="BX152" s="33"/>
    </row>
    <row r="153" spans="66:76" ht="15.75">
      <c r="BN153" s="7">
        <f t="shared" si="17"/>
        <v>7</v>
      </c>
      <c r="BO153" s="5">
        <f t="shared" si="10"/>
        <v>0.36</v>
      </c>
      <c r="BP153" s="13">
        <f t="shared" si="12"/>
        <v>-0.007000000000000001</v>
      </c>
      <c r="BQ153" s="13">
        <f t="shared" si="20"/>
        <v>-0.17</v>
      </c>
      <c r="BR153" s="5">
        <f t="shared" si="18"/>
        <v>0</v>
      </c>
      <c r="BS153" s="5">
        <f t="shared" si="14"/>
        <v>0.36</v>
      </c>
      <c r="BT153" s="33"/>
      <c r="BU153" s="33">
        <f t="shared" si="16"/>
        <v>0</v>
      </c>
      <c r="BV153" s="36">
        <f t="shared" si="15"/>
        <v>-20</v>
      </c>
      <c r="BW153" s="36">
        <f t="shared" si="19"/>
        <v>1</v>
      </c>
      <c r="BX153" s="33"/>
    </row>
    <row r="154" spans="66:76" ht="15.75">
      <c r="BN154" s="7">
        <f t="shared" si="17"/>
        <v>8</v>
      </c>
      <c r="BO154" s="5">
        <f t="shared" si="10"/>
        <v>0.33999999999999997</v>
      </c>
      <c r="BP154" s="13">
        <f t="shared" si="12"/>
        <v>-0.008000000000000002</v>
      </c>
      <c r="BQ154" s="13">
        <f t="shared" si="20"/>
        <v>-0.16333333333333333</v>
      </c>
      <c r="BR154" s="5">
        <f t="shared" si="18"/>
        <v>-20</v>
      </c>
      <c r="BS154" s="5">
        <f t="shared" si="14"/>
        <v>1</v>
      </c>
      <c r="BT154" s="33"/>
      <c r="BU154" s="33">
        <f t="shared" si="16"/>
        <v>11</v>
      </c>
      <c r="BV154" s="36">
        <f t="shared" si="15"/>
        <v>0</v>
      </c>
      <c r="BW154" s="36">
        <f t="shared" si="19"/>
        <v>-0.28</v>
      </c>
      <c r="BX154" s="33"/>
    </row>
    <row r="155" spans="66:76" ht="15.75">
      <c r="BN155" s="7">
        <f t="shared" si="17"/>
        <v>8</v>
      </c>
      <c r="BO155" s="5">
        <f t="shared" si="10"/>
        <v>0.33999999999999997</v>
      </c>
      <c r="BP155" s="13">
        <f t="shared" si="12"/>
        <v>-0.008000000000000002</v>
      </c>
      <c r="BQ155" s="13">
        <f t="shared" si="20"/>
        <v>-0.16333333333333333</v>
      </c>
      <c r="BR155" s="5">
        <f t="shared" si="18"/>
        <v>0</v>
      </c>
      <c r="BS155" s="5">
        <f t="shared" si="14"/>
        <v>0.33999999999999997</v>
      </c>
      <c r="BT155" s="33"/>
      <c r="BU155" s="33">
        <f t="shared" si="16"/>
        <v>0</v>
      </c>
      <c r="BV155" s="36">
        <f t="shared" si="15"/>
        <v>3.2142857142857144</v>
      </c>
      <c r="BW155" s="36">
        <f t="shared" si="19"/>
        <v>-0.15</v>
      </c>
      <c r="BX155" s="33"/>
    </row>
    <row r="156" spans="66:76" ht="15.75">
      <c r="BN156" s="7">
        <f t="shared" si="17"/>
        <v>8</v>
      </c>
      <c r="BO156" s="5">
        <f t="shared" si="10"/>
        <v>0.33999999999999997</v>
      </c>
      <c r="BP156" s="13">
        <f t="shared" si="12"/>
        <v>-0.008000000000000002</v>
      </c>
      <c r="BQ156" s="13">
        <f t="shared" si="20"/>
        <v>-0.16333333333333333</v>
      </c>
      <c r="BR156" s="5">
        <f t="shared" si="18"/>
        <v>3</v>
      </c>
      <c r="BS156" s="5">
        <f t="shared" si="14"/>
        <v>-0.15000000000000002</v>
      </c>
      <c r="BT156" s="33"/>
      <c r="BU156" s="33">
        <f t="shared" si="16"/>
        <v>0</v>
      </c>
      <c r="BV156" s="36">
        <f t="shared" si="15"/>
        <v>-20</v>
      </c>
      <c r="BW156" s="36">
        <f t="shared" si="19"/>
        <v>1</v>
      </c>
      <c r="BX156" s="33"/>
    </row>
    <row r="157" spans="66:76" ht="15.75">
      <c r="BN157" s="7">
        <f t="shared" si="17"/>
        <v>8</v>
      </c>
      <c r="BO157" s="5">
        <f t="shared" si="10"/>
        <v>0.33999999999999997</v>
      </c>
      <c r="BP157" s="13">
        <f t="shared" si="12"/>
        <v>-0.008000000000000002</v>
      </c>
      <c r="BQ157" s="13">
        <f t="shared" si="20"/>
        <v>-0.16333333333333333</v>
      </c>
      <c r="BR157" s="5">
        <f t="shared" si="18"/>
        <v>0</v>
      </c>
      <c r="BS157" s="5">
        <f t="shared" si="14"/>
        <v>0.33999999999999997</v>
      </c>
      <c r="BT157" s="33"/>
      <c r="BU157" s="33">
        <f t="shared" si="16"/>
        <v>12</v>
      </c>
      <c r="BV157" s="36">
        <f t="shared" si="15"/>
        <v>0</v>
      </c>
      <c r="BW157" s="36">
        <f t="shared" si="19"/>
        <v>-0.26</v>
      </c>
      <c r="BX157" s="33"/>
    </row>
    <row r="158" spans="66:76" ht="15.75">
      <c r="BN158" s="7">
        <f t="shared" si="17"/>
        <v>9</v>
      </c>
      <c r="BO158" s="5">
        <f t="shared" si="10"/>
        <v>0.32</v>
      </c>
      <c r="BP158" s="13">
        <f t="shared" si="12"/>
        <v>-0.009</v>
      </c>
      <c r="BQ158" s="13">
        <f t="shared" si="20"/>
        <v>-0.15666666666666665</v>
      </c>
      <c r="BR158" s="5">
        <f t="shared" si="18"/>
        <v>-20</v>
      </c>
      <c r="BS158" s="5">
        <f t="shared" si="14"/>
        <v>1</v>
      </c>
      <c r="BT158" s="33"/>
      <c r="BU158" s="33">
        <f t="shared" si="16"/>
        <v>0</v>
      </c>
      <c r="BV158" s="36">
        <f t="shared" si="15"/>
        <v>3.2142857142857144</v>
      </c>
      <c r="BW158" s="36">
        <f t="shared" si="19"/>
        <v>-0.15</v>
      </c>
      <c r="BX158" s="33"/>
    </row>
    <row r="159" spans="66:76" ht="15.75">
      <c r="BN159" s="7">
        <f t="shared" si="17"/>
        <v>9</v>
      </c>
      <c r="BO159" s="5">
        <f t="shared" si="10"/>
        <v>0.32</v>
      </c>
      <c r="BP159" s="13">
        <f t="shared" si="12"/>
        <v>-0.009</v>
      </c>
      <c r="BQ159" s="13">
        <f t="shared" si="20"/>
        <v>-0.15666666666666665</v>
      </c>
      <c r="BR159" s="5">
        <f t="shared" si="18"/>
        <v>0</v>
      </c>
      <c r="BS159" s="5">
        <f t="shared" si="14"/>
        <v>0.32</v>
      </c>
      <c r="BT159" s="33"/>
      <c r="BU159" s="33">
        <f t="shared" si="16"/>
        <v>0</v>
      </c>
      <c r="BV159" s="36">
        <f t="shared" si="15"/>
        <v>-20</v>
      </c>
      <c r="BW159" s="36">
        <f t="shared" si="19"/>
        <v>1</v>
      </c>
      <c r="BX159" s="33"/>
    </row>
    <row r="160" spans="66:76" ht="15.75">
      <c r="BN160" s="7">
        <f t="shared" si="17"/>
        <v>9</v>
      </c>
      <c r="BO160" s="5">
        <f t="shared" si="10"/>
        <v>0.32</v>
      </c>
      <c r="BP160" s="13">
        <f t="shared" si="12"/>
        <v>-0.009</v>
      </c>
      <c r="BQ160" s="13">
        <f t="shared" si="20"/>
        <v>-0.15666666666666665</v>
      </c>
      <c r="BR160" s="5">
        <f t="shared" si="18"/>
        <v>3</v>
      </c>
      <c r="BS160" s="5">
        <f t="shared" si="14"/>
        <v>-0.14999999999999997</v>
      </c>
      <c r="BT160" s="33"/>
      <c r="BU160" s="33">
        <f t="shared" si="16"/>
        <v>13</v>
      </c>
      <c r="BV160" s="36">
        <f t="shared" si="15"/>
        <v>0</v>
      </c>
      <c r="BW160" s="36">
        <f t="shared" si="19"/>
        <v>-0.24</v>
      </c>
      <c r="BX160" s="33"/>
    </row>
    <row r="161" spans="66:76" ht="15.75">
      <c r="BN161" s="7">
        <f t="shared" si="17"/>
        <v>9</v>
      </c>
      <c r="BO161" s="5">
        <f t="shared" si="10"/>
        <v>0.32</v>
      </c>
      <c r="BP161" s="13">
        <f t="shared" si="12"/>
        <v>-0.009</v>
      </c>
      <c r="BQ161" s="13">
        <f t="shared" si="20"/>
        <v>-0.15666666666666665</v>
      </c>
      <c r="BR161" s="5">
        <f t="shared" si="18"/>
        <v>0</v>
      </c>
      <c r="BS161" s="5">
        <f t="shared" si="14"/>
        <v>0.32</v>
      </c>
      <c r="BT161" s="33"/>
      <c r="BU161" s="33">
        <f t="shared" si="16"/>
        <v>0</v>
      </c>
      <c r="BV161" s="36">
        <f t="shared" si="15"/>
        <v>3.2142857142857144</v>
      </c>
      <c r="BW161" s="36">
        <f aca="true" t="shared" si="21" ref="BW161:BW192">IF($BV$117=0,0,IF(BV161&lt;0,$C$6,IF(BV161&gt;0,-$BN$7,-$C$2/2+$BP$118*BU161)))</f>
        <v>-0.15</v>
      </c>
      <c r="BX161" s="33"/>
    </row>
    <row r="162" spans="66:76" ht="15.75">
      <c r="BN162" s="7">
        <f t="shared" si="17"/>
        <v>10</v>
      </c>
      <c r="BO162" s="5">
        <f t="shared" si="10"/>
        <v>0.3</v>
      </c>
      <c r="BP162" s="13">
        <f t="shared" si="12"/>
        <v>-0.01</v>
      </c>
      <c r="BQ162" s="13">
        <f t="shared" si="20"/>
        <v>-0.15</v>
      </c>
      <c r="BR162" s="5">
        <f t="shared" si="18"/>
        <v>-20</v>
      </c>
      <c r="BS162" s="5">
        <f t="shared" si="14"/>
        <v>1</v>
      </c>
      <c r="BT162" s="33"/>
      <c r="BU162" s="33">
        <f t="shared" si="16"/>
        <v>0</v>
      </c>
      <c r="BV162" s="36">
        <f t="shared" si="15"/>
        <v>-20</v>
      </c>
      <c r="BW162" s="36">
        <f t="shared" si="21"/>
        <v>1</v>
      </c>
      <c r="BX162" s="33"/>
    </row>
    <row r="163" spans="66:76" ht="15.75">
      <c r="BN163" s="7">
        <f t="shared" si="17"/>
        <v>10</v>
      </c>
      <c r="BO163" s="5">
        <f t="shared" si="10"/>
        <v>0.3</v>
      </c>
      <c r="BP163" s="13">
        <f t="shared" si="12"/>
        <v>-0.01</v>
      </c>
      <c r="BQ163" s="13">
        <f t="shared" si="20"/>
        <v>-0.15</v>
      </c>
      <c r="BR163" s="5">
        <f t="shared" si="18"/>
        <v>0</v>
      </c>
      <c r="BS163" s="5">
        <f t="shared" si="14"/>
        <v>0.3</v>
      </c>
      <c r="BT163" s="33"/>
      <c r="BU163" s="33">
        <f t="shared" si="16"/>
        <v>14</v>
      </c>
      <c r="BV163" s="36">
        <f t="shared" si="15"/>
        <v>0</v>
      </c>
      <c r="BW163" s="36">
        <f t="shared" si="21"/>
        <v>-0.21999999999999997</v>
      </c>
      <c r="BX163" s="33"/>
    </row>
    <row r="164" spans="66:76" ht="15.75">
      <c r="BN164" s="7">
        <f t="shared" si="17"/>
        <v>10</v>
      </c>
      <c r="BO164" s="5">
        <f t="shared" si="10"/>
        <v>0.3</v>
      </c>
      <c r="BP164" s="13">
        <f t="shared" si="12"/>
        <v>-0.01</v>
      </c>
      <c r="BQ164" s="13">
        <f t="shared" si="20"/>
        <v>-0.15</v>
      </c>
      <c r="BR164" s="5">
        <f t="shared" si="18"/>
        <v>3</v>
      </c>
      <c r="BS164" s="5">
        <f t="shared" si="14"/>
        <v>-0.14999999999999997</v>
      </c>
      <c r="BT164" s="33"/>
      <c r="BU164" s="33">
        <f t="shared" si="16"/>
        <v>0</v>
      </c>
      <c r="BV164" s="36">
        <f t="shared" si="15"/>
        <v>3.2142857142857144</v>
      </c>
      <c r="BW164" s="36">
        <f t="shared" si="21"/>
        <v>-0.15</v>
      </c>
      <c r="BX164" s="33"/>
    </row>
    <row r="165" spans="66:76" ht="15.75">
      <c r="BN165" s="7">
        <f t="shared" si="17"/>
        <v>10</v>
      </c>
      <c r="BO165" s="5">
        <f t="shared" si="10"/>
        <v>0.3</v>
      </c>
      <c r="BP165" s="13">
        <f t="shared" si="12"/>
        <v>-0.01</v>
      </c>
      <c r="BQ165" s="13">
        <f t="shared" si="20"/>
        <v>-0.15</v>
      </c>
      <c r="BR165" s="5">
        <f t="shared" si="18"/>
        <v>0</v>
      </c>
      <c r="BS165" s="5">
        <f t="shared" si="14"/>
        <v>0.3</v>
      </c>
      <c r="BT165" s="33"/>
      <c r="BU165" s="33">
        <f t="shared" si="16"/>
        <v>0</v>
      </c>
      <c r="BV165" s="36">
        <f t="shared" si="15"/>
        <v>-20</v>
      </c>
      <c r="BW165" s="36">
        <f t="shared" si="21"/>
        <v>1</v>
      </c>
      <c r="BX165" s="33"/>
    </row>
    <row r="166" spans="66:76" ht="15.75">
      <c r="BN166" s="7">
        <f t="shared" si="17"/>
        <v>11</v>
      </c>
      <c r="BO166" s="5">
        <f t="shared" si="10"/>
        <v>0.28</v>
      </c>
      <c r="BP166" s="13">
        <f t="shared" si="12"/>
        <v>-0.011</v>
      </c>
      <c r="BQ166" s="13">
        <f t="shared" si="20"/>
        <v>-0.14333333333333334</v>
      </c>
      <c r="BR166" s="5">
        <f t="shared" si="18"/>
        <v>-20</v>
      </c>
      <c r="BS166" s="5">
        <f t="shared" si="14"/>
        <v>1</v>
      </c>
      <c r="BT166" s="33"/>
      <c r="BU166" s="33">
        <f t="shared" si="16"/>
        <v>15</v>
      </c>
      <c r="BV166" s="36">
        <f t="shared" si="15"/>
        <v>0</v>
      </c>
      <c r="BW166" s="36">
        <f t="shared" si="21"/>
        <v>-0.2</v>
      </c>
      <c r="BX166" s="33"/>
    </row>
    <row r="167" spans="66:76" ht="15.75">
      <c r="BN167" s="7">
        <f t="shared" si="17"/>
        <v>11</v>
      </c>
      <c r="BO167" s="5">
        <f t="shared" si="10"/>
        <v>0.28</v>
      </c>
      <c r="BP167" s="13">
        <f t="shared" si="12"/>
        <v>-0.011</v>
      </c>
      <c r="BQ167" s="13">
        <f t="shared" si="20"/>
        <v>-0.14333333333333334</v>
      </c>
      <c r="BR167" s="5">
        <f t="shared" si="18"/>
        <v>0</v>
      </c>
      <c r="BS167" s="5">
        <f t="shared" si="14"/>
        <v>0.28</v>
      </c>
      <c r="BT167" s="33"/>
      <c r="BU167" s="33">
        <f t="shared" si="16"/>
        <v>0</v>
      </c>
      <c r="BV167" s="36">
        <f t="shared" si="15"/>
        <v>3.2142857142857144</v>
      </c>
      <c r="BW167" s="36">
        <f t="shared" si="21"/>
        <v>-0.15</v>
      </c>
      <c r="BX167" s="33"/>
    </row>
    <row r="168" spans="66:76" ht="15.75">
      <c r="BN168" s="7">
        <f t="shared" si="17"/>
        <v>11</v>
      </c>
      <c r="BO168" s="5">
        <f t="shared" si="10"/>
        <v>0.28</v>
      </c>
      <c r="BP168" s="13">
        <f t="shared" si="12"/>
        <v>-0.011</v>
      </c>
      <c r="BQ168" s="13">
        <f t="shared" si="20"/>
        <v>-0.14333333333333334</v>
      </c>
      <c r="BR168" s="5">
        <f t="shared" si="18"/>
        <v>3</v>
      </c>
      <c r="BS168" s="5">
        <f t="shared" si="14"/>
        <v>-0.15000000000000002</v>
      </c>
      <c r="BT168" s="33"/>
      <c r="BU168" s="33">
        <f t="shared" si="16"/>
        <v>0</v>
      </c>
      <c r="BV168" s="36">
        <f t="shared" si="15"/>
        <v>-20</v>
      </c>
      <c r="BW168" s="36">
        <f t="shared" si="21"/>
        <v>1</v>
      </c>
      <c r="BX168" s="33"/>
    </row>
    <row r="169" spans="66:76" ht="15.75">
      <c r="BN169" s="7">
        <f t="shared" si="17"/>
        <v>11</v>
      </c>
      <c r="BO169" s="5">
        <f t="shared" si="10"/>
        <v>0.28</v>
      </c>
      <c r="BP169" s="13">
        <f t="shared" si="12"/>
        <v>-0.011</v>
      </c>
      <c r="BQ169" s="13">
        <f t="shared" si="20"/>
        <v>-0.14333333333333334</v>
      </c>
      <c r="BR169" s="5">
        <f t="shared" si="18"/>
        <v>0</v>
      </c>
      <c r="BS169" s="5">
        <f t="shared" si="14"/>
        <v>0.28</v>
      </c>
      <c r="BT169" s="33"/>
      <c r="BU169" s="33">
        <f t="shared" si="16"/>
        <v>16</v>
      </c>
      <c r="BV169" s="36">
        <f t="shared" si="15"/>
        <v>0</v>
      </c>
      <c r="BW169" s="36">
        <f t="shared" si="21"/>
        <v>-0.18</v>
      </c>
      <c r="BX169" s="33"/>
    </row>
    <row r="170" spans="66:76" ht="15.75">
      <c r="BN170" s="7">
        <f t="shared" si="17"/>
        <v>12</v>
      </c>
      <c r="BO170" s="5">
        <f t="shared" si="10"/>
        <v>0.26</v>
      </c>
      <c r="BP170" s="13">
        <f t="shared" si="12"/>
        <v>-0.012</v>
      </c>
      <c r="BQ170" s="13">
        <f t="shared" si="20"/>
        <v>-0.1366666666666667</v>
      </c>
      <c r="BR170" s="5">
        <f t="shared" si="18"/>
        <v>-20</v>
      </c>
      <c r="BS170" s="5">
        <f t="shared" si="14"/>
        <v>1</v>
      </c>
      <c r="BT170" s="33"/>
      <c r="BU170" s="33">
        <f t="shared" si="16"/>
        <v>0</v>
      </c>
      <c r="BV170" s="36">
        <f t="shared" si="15"/>
        <v>3.2142857142857144</v>
      </c>
      <c r="BW170" s="36">
        <f t="shared" si="21"/>
        <v>-0.15</v>
      </c>
      <c r="BX170" s="33"/>
    </row>
    <row r="171" spans="66:76" ht="15.75">
      <c r="BN171" s="7">
        <f t="shared" si="17"/>
        <v>12</v>
      </c>
      <c r="BO171" s="5">
        <f t="shared" si="10"/>
        <v>0.26</v>
      </c>
      <c r="BP171" s="13">
        <f t="shared" si="12"/>
        <v>-0.012</v>
      </c>
      <c r="BQ171" s="13">
        <f t="shared" si="20"/>
        <v>-0.1366666666666667</v>
      </c>
      <c r="BR171" s="5">
        <f t="shared" si="18"/>
        <v>0</v>
      </c>
      <c r="BS171" s="5">
        <f t="shared" si="14"/>
        <v>0.26</v>
      </c>
      <c r="BT171" s="33"/>
      <c r="BU171" s="33">
        <f t="shared" si="16"/>
        <v>0</v>
      </c>
      <c r="BV171" s="36">
        <f t="shared" si="15"/>
        <v>-20</v>
      </c>
      <c r="BW171" s="36">
        <f t="shared" si="21"/>
        <v>1</v>
      </c>
      <c r="BX171" s="33"/>
    </row>
    <row r="172" spans="66:76" ht="15.75">
      <c r="BN172" s="7">
        <f t="shared" si="17"/>
        <v>12</v>
      </c>
      <c r="BO172" s="5">
        <f t="shared" si="10"/>
        <v>0.26</v>
      </c>
      <c r="BP172" s="13">
        <f t="shared" si="12"/>
        <v>-0.012</v>
      </c>
      <c r="BQ172" s="13">
        <f t="shared" si="20"/>
        <v>-0.1366666666666667</v>
      </c>
      <c r="BR172" s="5">
        <f t="shared" si="18"/>
        <v>3</v>
      </c>
      <c r="BS172" s="5">
        <f t="shared" si="14"/>
        <v>-0.15000000000000002</v>
      </c>
      <c r="BT172" s="33"/>
      <c r="BU172" s="33">
        <f t="shared" si="16"/>
        <v>17</v>
      </c>
      <c r="BV172" s="36">
        <f t="shared" si="15"/>
        <v>0</v>
      </c>
      <c r="BW172" s="36">
        <f t="shared" si="21"/>
        <v>-0.15999999999999998</v>
      </c>
      <c r="BX172" s="33"/>
    </row>
    <row r="173" spans="66:76" ht="15.75">
      <c r="BN173" s="7">
        <f t="shared" si="17"/>
        <v>12</v>
      </c>
      <c r="BO173" s="5">
        <f t="shared" si="10"/>
        <v>0.26</v>
      </c>
      <c r="BP173" s="13">
        <f t="shared" si="12"/>
        <v>-0.012</v>
      </c>
      <c r="BQ173" s="13">
        <f t="shared" si="20"/>
        <v>-0.1366666666666667</v>
      </c>
      <c r="BR173" s="5">
        <f t="shared" si="18"/>
        <v>0</v>
      </c>
      <c r="BS173" s="5">
        <f t="shared" si="14"/>
        <v>0.26</v>
      </c>
      <c r="BT173" s="33"/>
      <c r="BU173" s="33">
        <f t="shared" si="16"/>
        <v>0</v>
      </c>
      <c r="BV173" s="36">
        <f t="shared" si="15"/>
        <v>3.2142857142857144</v>
      </c>
      <c r="BW173" s="36">
        <f t="shared" si="21"/>
        <v>-0.15</v>
      </c>
      <c r="BX173" s="33"/>
    </row>
    <row r="174" spans="66:76" ht="15.75">
      <c r="BN174" s="7">
        <f t="shared" si="17"/>
        <v>13</v>
      </c>
      <c r="BO174" s="5">
        <f t="shared" si="10"/>
        <v>0.24</v>
      </c>
      <c r="BP174" s="13">
        <f t="shared" si="12"/>
        <v>-0.013000000000000001</v>
      </c>
      <c r="BQ174" s="13">
        <f t="shared" si="20"/>
        <v>-0.13</v>
      </c>
      <c r="BR174" s="5">
        <f t="shared" si="18"/>
        <v>-20</v>
      </c>
      <c r="BS174" s="5">
        <f t="shared" si="14"/>
        <v>1</v>
      </c>
      <c r="BT174" s="33"/>
      <c r="BU174" s="33">
        <f t="shared" si="16"/>
        <v>0</v>
      </c>
      <c r="BV174" s="36">
        <f t="shared" si="15"/>
        <v>-20</v>
      </c>
      <c r="BW174" s="36">
        <f t="shared" si="21"/>
        <v>1</v>
      </c>
      <c r="BX174" s="33"/>
    </row>
    <row r="175" spans="66:76" ht="15.75">
      <c r="BN175" s="7">
        <f t="shared" si="17"/>
        <v>13</v>
      </c>
      <c r="BO175" s="5">
        <f t="shared" si="10"/>
        <v>0.24</v>
      </c>
      <c r="BP175" s="13">
        <f t="shared" si="12"/>
        <v>-0.013000000000000001</v>
      </c>
      <c r="BQ175" s="13">
        <f t="shared" si="20"/>
        <v>-0.13</v>
      </c>
      <c r="BR175" s="5">
        <f t="shared" si="18"/>
        <v>0</v>
      </c>
      <c r="BS175" s="5">
        <f t="shared" si="14"/>
        <v>0.24</v>
      </c>
      <c r="BT175" s="33"/>
      <c r="BU175" s="33">
        <f t="shared" si="16"/>
        <v>18</v>
      </c>
      <c r="BV175" s="36">
        <f t="shared" si="15"/>
        <v>0</v>
      </c>
      <c r="BW175" s="36">
        <f t="shared" si="21"/>
        <v>-0.14</v>
      </c>
      <c r="BX175" s="33"/>
    </row>
    <row r="176" spans="66:76" ht="15.75">
      <c r="BN176" s="7">
        <f t="shared" si="17"/>
        <v>13</v>
      </c>
      <c r="BO176" s="5">
        <f t="shared" si="10"/>
        <v>0.24</v>
      </c>
      <c r="BP176" s="13">
        <f t="shared" si="12"/>
        <v>-0.013000000000000001</v>
      </c>
      <c r="BQ176" s="13">
        <f t="shared" si="20"/>
        <v>-0.13</v>
      </c>
      <c r="BR176" s="5">
        <f t="shared" si="18"/>
        <v>3</v>
      </c>
      <c r="BS176" s="5">
        <f t="shared" si="14"/>
        <v>-0.15000000000000002</v>
      </c>
      <c r="BT176" s="33"/>
      <c r="BU176" s="33">
        <f t="shared" si="16"/>
        <v>0</v>
      </c>
      <c r="BV176" s="36">
        <f t="shared" si="15"/>
        <v>3.2142857142857144</v>
      </c>
      <c r="BW176" s="36">
        <f t="shared" si="21"/>
        <v>-0.15</v>
      </c>
      <c r="BX176" s="33"/>
    </row>
    <row r="177" spans="66:76" ht="15.75">
      <c r="BN177" s="7">
        <f t="shared" si="17"/>
        <v>13</v>
      </c>
      <c r="BO177" s="5">
        <f t="shared" si="10"/>
        <v>0.24</v>
      </c>
      <c r="BP177" s="13">
        <f t="shared" si="12"/>
        <v>-0.013000000000000001</v>
      </c>
      <c r="BQ177" s="13">
        <f t="shared" si="20"/>
        <v>-0.13</v>
      </c>
      <c r="BR177" s="5">
        <f t="shared" si="18"/>
        <v>0</v>
      </c>
      <c r="BS177" s="5">
        <f t="shared" si="14"/>
        <v>0.24</v>
      </c>
      <c r="BT177" s="33"/>
      <c r="BU177" s="33">
        <f t="shared" si="16"/>
        <v>0</v>
      </c>
      <c r="BV177" s="36">
        <f t="shared" si="15"/>
        <v>-20</v>
      </c>
      <c r="BW177" s="36">
        <f t="shared" si="21"/>
        <v>1</v>
      </c>
      <c r="BX177" s="33"/>
    </row>
    <row r="178" spans="66:76" ht="15.75">
      <c r="BN178" s="7">
        <f t="shared" si="17"/>
        <v>14</v>
      </c>
      <c r="BO178" s="5">
        <f t="shared" si="10"/>
        <v>0.21999999999999997</v>
      </c>
      <c r="BP178" s="13">
        <f t="shared" si="12"/>
        <v>-0.014000000000000002</v>
      </c>
      <c r="BQ178" s="13">
        <f t="shared" si="20"/>
        <v>-0.12333333333333334</v>
      </c>
      <c r="BR178" s="5">
        <f t="shared" si="18"/>
        <v>-20</v>
      </c>
      <c r="BS178" s="5">
        <f t="shared" si="14"/>
        <v>1</v>
      </c>
      <c r="BT178" s="33"/>
      <c r="BU178" s="33">
        <f t="shared" si="16"/>
        <v>19</v>
      </c>
      <c r="BV178" s="36">
        <f t="shared" si="15"/>
        <v>0</v>
      </c>
      <c r="BW178" s="36">
        <f t="shared" si="21"/>
        <v>-0.12</v>
      </c>
      <c r="BX178" s="33"/>
    </row>
    <row r="179" spans="66:76" ht="15.75">
      <c r="BN179" s="7">
        <f t="shared" si="17"/>
        <v>14</v>
      </c>
      <c r="BO179" s="5">
        <f t="shared" si="10"/>
        <v>0.21999999999999997</v>
      </c>
      <c r="BP179" s="13">
        <f t="shared" si="12"/>
        <v>-0.014000000000000002</v>
      </c>
      <c r="BQ179" s="13">
        <f t="shared" si="20"/>
        <v>-0.12333333333333334</v>
      </c>
      <c r="BR179" s="5">
        <f t="shared" si="18"/>
        <v>0</v>
      </c>
      <c r="BS179" s="5">
        <f t="shared" si="14"/>
        <v>0.21999999999999997</v>
      </c>
      <c r="BT179" s="33"/>
      <c r="BU179" s="33">
        <f t="shared" si="16"/>
        <v>0</v>
      </c>
      <c r="BV179" s="36">
        <f t="shared" si="15"/>
        <v>3.2142857142857144</v>
      </c>
      <c r="BW179" s="36">
        <f t="shared" si="21"/>
        <v>-0.15</v>
      </c>
      <c r="BX179" s="33"/>
    </row>
    <row r="180" spans="66:76" ht="15.75">
      <c r="BN180" s="7">
        <f t="shared" si="17"/>
        <v>14</v>
      </c>
      <c r="BO180" s="5">
        <f t="shared" si="10"/>
        <v>0.21999999999999997</v>
      </c>
      <c r="BP180" s="13">
        <f t="shared" si="12"/>
        <v>-0.014000000000000002</v>
      </c>
      <c r="BQ180" s="13">
        <f t="shared" si="20"/>
        <v>-0.12333333333333334</v>
      </c>
      <c r="BR180" s="5">
        <f t="shared" si="18"/>
        <v>3</v>
      </c>
      <c r="BS180" s="5">
        <f t="shared" si="14"/>
        <v>-0.15000000000000002</v>
      </c>
      <c r="BT180" s="33"/>
      <c r="BU180" s="33">
        <f t="shared" si="16"/>
        <v>0</v>
      </c>
      <c r="BV180" s="36">
        <f t="shared" si="15"/>
        <v>-20</v>
      </c>
      <c r="BW180" s="36">
        <f t="shared" si="21"/>
        <v>1</v>
      </c>
      <c r="BX180" s="33"/>
    </row>
    <row r="181" spans="66:76" ht="15.75">
      <c r="BN181" s="7">
        <f t="shared" si="17"/>
        <v>14</v>
      </c>
      <c r="BO181" s="5">
        <f t="shared" si="10"/>
        <v>0.21999999999999997</v>
      </c>
      <c r="BP181" s="13">
        <f t="shared" si="12"/>
        <v>-0.014000000000000002</v>
      </c>
      <c r="BQ181" s="13">
        <f t="shared" si="20"/>
        <v>-0.12333333333333334</v>
      </c>
      <c r="BR181" s="5">
        <f t="shared" si="18"/>
        <v>0</v>
      </c>
      <c r="BS181" s="5">
        <f t="shared" si="14"/>
        <v>0.21999999999999997</v>
      </c>
      <c r="BT181" s="33"/>
      <c r="BU181" s="33">
        <f t="shared" si="16"/>
        <v>20</v>
      </c>
      <c r="BV181" s="36">
        <f t="shared" si="15"/>
        <v>0</v>
      </c>
      <c r="BW181" s="36">
        <f t="shared" si="21"/>
        <v>-0.09999999999999998</v>
      </c>
      <c r="BX181" s="33"/>
    </row>
    <row r="182" spans="66:76" ht="15.75">
      <c r="BN182" s="7">
        <f t="shared" si="17"/>
        <v>15</v>
      </c>
      <c r="BO182" s="5">
        <f t="shared" si="10"/>
        <v>0.2</v>
      </c>
      <c r="BP182" s="13">
        <f t="shared" si="12"/>
        <v>-0.015</v>
      </c>
      <c r="BQ182" s="13">
        <f t="shared" si="20"/>
        <v>-0.11666666666666665</v>
      </c>
      <c r="BR182" s="5">
        <f t="shared" si="18"/>
        <v>-20</v>
      </c>
      <c r="BS182" s="5">
        <f t="shared" si="14"/>
        <v>1</v>
      </c>
      <c r="BT182" s="33"/>
      <c r="BU182" s="33">
        <f t="shared" si="16"/>
        <v>0</v>
      </c>
      <c r="BV182" s="36">
        <f t="shared" si="15"/>
        <v>3.2142857142857144</v>
      </c>
      <c r="BW182" s="36">
        <f t="shared" si="21"/>
        <v>-0.15</v>
      </c>
      <c r="BX182" s="33"/>
    </row>
    <row r="183" spans="66:76" ht="15.75">
      <c r="BN183" s="7">
        <f t="shared" si="17"/>
        <v>15</v>
      </c>
      <c r="BO183" s="5">
        <f t="shared" si="10"/>
        <v>0.2</v>
      </c>
      <c r="BP183" s="13">
        <f t="shared" si="12"/>
        <v>-0.015</v>
      </c>
      <c r="BQ183" s="13">
        <f t="shared" si="20"/>
        <v>-0.11666666666666665</v>
      </c>
      <c r="BR183" s="5">
        <f t="shared" si="18"/>
        <v>0</v>
      </c>
      <c r="BS183" s="5">
        <f t="shared" si="14"/>
        <v>0.2</v>
      </c>
      <c r="BT183" s="33"/>
      <c r="BU183" s="33">
        <f t="shared" si="16"/>
        <v>0</v>
      </c>
      <c r="BV183" s="36">
        <f t="shared" si="15"/>
        <v>-20</v>
      </c>
      <c r="BW183" s="36">
        <f t="shared" si="21"/>
        <v>1</v>
      </c>
      <c r="BX183" s="33"/>
    </row>
    <row r="184" spans="66:76" ht="15.75">
      <c r="BN184" s="7">
        <f t="shared" si="17"/>
        <v>15</v>
      </c>
      <c r="BO184" s="5">
        <f t="shared" si="10"/>
        <v>0.2</v>
      </c>
      <c r="BP184" s="13">
        <f t="shared" si="12"/>
        <v>-0.015</v>
      </c>
      <c r="BQ184" s="13">
        <f t="shared" si="20"/>
        <v>-0.11666666666666665</v>
      </c>
      <c r="BR184" s="5">
        <f t="shared" si="18"/>
        <v>3</v>
      </c>
      <c r="BS184" s="5">
        <f t="shared" si="14"/>
        <v>-0.14999999999999997</v>
      </c>
      <c r="BT184" s="33"/>
      <c r="BU184" s="33">
        <f t="shared" si="16"/>
        <v>21</v>
      </c>
      <c r="BV184" s="36">
        <f t="shared" si="15"/>
        <v>0</v>
      </c>
      <c r="BW184" s="36">
        <f t="shared" si="21"/>
        <v>-0.08000000000000002</v>
      </c>
      <c r="BX184" s="33"/>
    </row>
    <row r="185" spans="66:76" ht="15.75">
      <c r="BN185" s="7">
        <f t="shared" si="17"/>
        <v>15</v>
      </c>
      <c r="BO185" s="5">
        <f t="shared" si="10"/>
        <v>0.2</v>
      </c>
      <c r="BP185" s="13">
        <f t="shared" si="12"/>
        <v>-0.015</v>
      </c>
      <c r="BQ185" s="13">
        <f t="shared" si="20"/>
        <v>-0.11666666666666665</v>
      </c>
      <c r="BR185" s="5">
        <f t="shared" si="18"/>
        <v>0</v>
      </c>
      <c r="BS185" s="5">
        <f t="shared" si="14"/>
        <v>0.2</v>
      </c>
      <c r="BT185" s="33"/>
      <c r="BU185" s="33">
        <f t="shared" si="16"/>
        <v>0</v>
      </c>
      <c r="BV185" s="36">
        <f t="shared" si="15"/>
        <v>3.2142857142857144</v>
      </c>
      <c r="BW185" s="36">
        <f t="shared" si="21"/>
        <v>-0.15</v>
      </c>
      <c r="BX185" s="33"/>
    </row>
    <row r="186" spans="66:76" ht="15.75">
      <c r="BN186" s="7">
        <f t="shared" si="17"/>
        <v>16</v>
      </c>
      <c r="BO186" s="5">
        <f aca="true" t="shared" si="22" ref="BO186:BO249">$C$2/2-$BP$118*BN186</f>
        <v>0.18</v>
      </c>
      <c r="BP186" s="13">
        <f t="shared" si="12"/>
        <v>-0.016</v>
      </c>
      <c r="BQ186" s="13">
        <f t="shared" si="20"/>
        <v>-0.10999999999999999</v>
      </c>
      <c r="BR186" s="5">
        <f t="shared" si="18"/>
        <v>-20</v>
      </c>
      <c r="BS186" s="5">
        <f t="shared" si="14"/>
        <v>1</v>
      </c>
      <c r="BT186" s="33"/>
      <c r="BU186" s="33">
        <f t="shared" si="16"/>
        <v>0</v>
      </c>
      <c r="BV186" s="36">
        <f t="shared" si="15"/>
        <v>-20</v>
      </c>
      <c r="BW186" s="36">
        <f t="shared" si="21"/>
        <v>1</v>
      </c>
      <c r="BX186" s="33"/>
    </row>
    <row r="187" spans="66:76" ht="15.75">
      <c r="BN187" s="7">
        <f t="shared" si="17"/>
        <v>16</v>
      </c>
      <c r="BO187" s="5">
        <f t="shared" si="22"/>
        <v>0.18</v>
      </c>
      <c r="BP187" s="13">
        <f aca="true" t="shared" si="23" ref="BP187:BP250">(BO187-$C$2/2)/$C$4</f>
        <v>-0.016</v>
      </c>
      <c r="BQ187" s="13">
        <f t="shared" si="20"/>
        <v>-0.10999999999999999</v>
      </c>
      <c r="BR187" s="5">
        <f t="shared" si="18"/>
        <v>0</v>
      </c>
      <c r="BS187" s="5">
        <f t="shared" si="14"/>
        <v>0.18</v>
      </c>
      <c r="BT187" s="33"/>
      <c r="BU187" s="33">
        <f t="shared" si="16"/>
        <v>22</v>
      </c>
      <c r="BV187" s="36">
        <f t="shared" si="15"/>
        <v>0</v>
      </c>
      <c r="BW187" s="36">
        <f t="shared" si="21"/>
        <v>-0.06</v>
      </c>
      <c r="BX187" s="33"/>
    </row>
    <row r="188" spans="66:76" ht="15.75">
      <c r="BN188" s="7">
        <f t="shared" si="17"/>
        <v>16</v>
      </c>
      <c r="BO188" s="5">
        <f t="shared" si="22"/>
        <v>0.18</v>
      </c>
      <c r="BP188" s="13">
        <f t="shared" si="23"/>
        <v>-0.016</v>
      </c>
      <c r="BQ188" s="13">
        <f t="shared" si="20"/>
        <v>-0.10999999999999999</v>
      </c>
      <c r="BR188" s="5">
        <f t="shared" si="18"/>
        <v>3</v>
      </c>
      <c r="BS188" s="5">
        <f aca="true" t="shared" si="24" ref="BS188:BS251">IF($BV$117=0,0,IF(BR188&lt;0,$C$6,IF(BR188=0,BO188,BQ188*BR188+BO188)))</f>
        <v>-0.14999999999999997</v>
      </c>
      <c r="BT188" s="33"/>
      <c r="BU188" s="33">
        <f t="shared" si="16"/>
        <v>0</v>
      </c>
      <c r="BV188" s="36">
        <f aca="true" t="shared" si="25" ref="BV188:BV251">BV185</f>
        <v>3.2142857142857144</v>
      </c>
      <c r="BW188" s="36">
        <f t="shared" si="21"/>
        <v>-0.15</v>
      </c>
      <c r="BX188" s="33"/>
    </row>
    <row r="189" spans="66:76" ht="15.75">
      <c r="BN189" s="7">
        <f t="shared" si="17"/>
        <v>16</v>
      </c>
      <c r="BO189" s="5">
        <f t="shared" si="22"/>
        <v>0.18</v>
      </c>
      <c r="BP189" s="13">
        <f t="shared" si="23"/>
        <v>-0.016</v>
      </c>
      <c r="BQ189" s="13">
        <f t="shared" si="20"/>
        <v>-0.10999999999999999</v>
      </c>
      <c r="BR189" s="5">
        <f t="shared" si="18"/>
        <v>0</v>
      </c>
      <c r="BS189" s="5">
        <f t="shared" si="24"/>
        <v>0.18</v>
      </c>
      <c r="BT189" s="33"/>
      <c r="BU189" s="33">
        <f aca="true" t="shared" si="26" ref="BU189:BU252">IF(BV189=0,BU186+1,0)</f>
        <v>0</v>
      </c>
      <c r="BV189" s="36">
        <f t="shared" si="25"/>
        <v>-20</v>
      </c>
      <c r="BW189" s="36">
        <f t="shared" si="21"/>
        <v>1</v>
      </c>
      <c r="BX189" s="33"/>
    </row>
    <row r="190" spans="66:76" ht="15.75">
      <c r="BN190" s="7">
        <f t="shared" si="17"/>
        <v>17</v>
      </c>
      <c r="BO190" s="5">
        <f t="shared" si="22"/>
        <v>0.15999999999999998</v>
      </c>
      <c r="BP190" s="13">
        <f t="shared" si="23"/>
        <v>-0.017</v>
      </c>
      <c r="BQ190" s="13">
        <f t="shared" si="20"/>
        <v>-0.10333333333333332</v>
      </c>
      <c r="BR190" s="5">
        <f t="shared" si="18"/>
        <v>-20</v>
      </c>
      <c r="BS190" s="5">
        <f t="shared" si="24"/>
        <v>1</v>
      </c>
      <c r="BT190" s="33"/>
      <c r="BU190" s="33">
        <f t="shared" si="26"/>
        <v>23</v>
      </c>
      <c r="BV190" s="36">
        <f t="shared" si="25"/>
        <v>0</v>
      </c>
      <c r="BW190" s="36">
        <f t="shared" si="21"/>
        <v>-0.03999999999999998</v>
      </c>
      <c r="BX190" s="33"/>
    </row>
    <row r="191" spans="66:76" ht="15.75">
      <c r="BN191" s="7">
        <f aca="true" t="shared" si="27" ref="BN191:BN254">BN187+1</f>
        <v>17</v>
      </c>
      <c r="BO191" s="5">
        <f t="shared" si="22"/>
        <v>0.15999999999999998</v>
      </c>
      <c r="BP191" s="13">
        <f t="shared" si="23"/>
        <v>-0.017</v>
      </c>
      <c r="BQ191" s="13">
        <f t="shared" si="20"/>
        <v>-0.10333333333333332</v>
      </c>
      <c r="BR191" s="5">
        <f aca="true" t="shared" si="28" ref="BR191:BR254">BR187</f>
        <v>0</v>
      </c>
      <c r="BS191" s="5">
        <f t="shared" si="24"/>
        <v>0.15999999999999998</v>
      </c>
      <c r="BT191" s="33"/>
      <c r="BU191" s="33">
        <f t="shared" si="26"/>
        <v>0</v>
      </c>
      <c r="BV191" s="36">
        <f t="shared" si="25"/>
        <v>3.2142857142857144</v>
      </c>
      <c r="BW191" s="36">
        <f t="shared" si="21"/>
        <v>-0.15</v>
      </c>
      <c r="BX191" s="33"/>
    </row>
    <row r="192" spans="66:76" ht="15.75">
      <c r="BN192" s="7">
        <f t="shared" si="27"/>
        <v>17</v>
      </c>
      <c r="BO192" s="5">
        <f t="shared" si="22"/>
        <v>0.15999999999999998</v>
      </c>
      <c r="BP192" s="13">
        <f t="shared" si="23"/>
        <v>-0.017</v>
      </c>
      <c r="BQ192" s="13">
        <f t="shared" si="20"/>
        <v>-0.10333333333333332</v>
      </c>
      <c r="BR192" s="5">
        <f t="shared" si="28"/>
        <v>3</v>
      </c>
      <c r="BS192" s="5">
        <f t="shared" si="24"/>
        <v>-0.14999999999999997</v>
      </c>
      <c r="BT192" s="33"/>
      <c r="BU192" s="33">
        <f t="shared" si="26"/>
        <v>0</v>
      </c>
      <c r="BV192" s="36">
        <f t="shared" si="25"/>
        <v>-20</v>
      </c>
      <c r="BW192" s="36">
        <f t="shared" si="21"/>
        <v>1</v>
      </c>
      <c r="BX192" s="33"/>
    </row>
    <row r="193" spans="66:76" ht="15.75">
      <c r="BN193" s="7">
        <f t="shared" si="27"/>
        <v>17</v>
      </c>
      <c r="BO193" s="5">
        <f t="shared" si="22"/>
        <v>0.15999999999999998</v>
      </c>
      <c r="BP193" s="13">
        <f t="shared" si="23"/>
        <v>-0.017</v>
      </c>
      <c r="BQ193" s="13">
        <f t="shared" si="20"/>
        <v>-0.10333333333333332</v>
      </c>
      <c r="BR193" s="5">
        <f t="shared" si="28"/>
        <v>0</v>
      </c>
      <c r="BS193" s="5">
        <f t="shared" si="24"/>
        <v>0.15999999999999998</v>
      </c>
      <c r="BT193" s="33"/>
      <c r="BU193" s="33">
        <f t="shared" si="26"/>
        <v>24</v>
      </c>
      <c r="BV193" s="36">
        <f t="shared" si="25"/>
        <v>0</v>
      </c>
      <c r="BW193" s="36">
        <f aca="true" t="shared" si="29" ref="BW193:BW224">IF($BV$117=0,0,IF(BV193&lt;0,$C$6,IF(BV193&gt;0,-$BN$7,-$C$2/2+$BP$118*BU193)))</f>
        <v>-0.020000000000000018</v>
      </c>
      <c r="BX193" s="33"/>
    </row>
    <row r="194" spans="66:76" ht="15.75">
      <c r="BN194" s="7">
        <f t="shared" si="27"/>
        <v>18</v>
      </c>
      <c r="BO194" s="5">
        <f t="shared" si="22"/>
        <v>0.14</v>
      </c>
      <c r="BP194" s="13">
        <f t="shared" si="23"/>
        <v>-0.018</v>
      </c>
      <c r="BQ194" s="13">
        <f t="shared" si="20"/>
        <v>-0.09666666666666668</v>
      </c>
      <c r="BR194" s="5">
        <f t="shared" si="28"/>
        <v>-20</v>
      </c>
      <c r="BS194" s="5">
        <f t="shared" si="24"/>
        <v>1</v>
      </c>
      <c r="BT194" s="33"/>
      <c r="BU194" s="33">
        <f t="shared" si="26"/>
        <v>0</v>
      </c>
      <c r="BV194" s="36">
        <f t="shared" si="25"/>
        <v>3.2142857142857144</v>
      </c>
      <c r="BW194" s="36">
        <f t="shared" si="29"/>
        <v>-0.15</v>
      </c>
      <c r="BX194" s="33"/>
    </row>
    <row r="195" spans="66:76" ht="15.75">
      <c r="BN195" s="7">
        <f t="shared" si="27"/>
        <v>18</v>
      </c>
      <c r="BO195" s="5">
        <f t="shared" si="22"/>
        <v>0.14</v>
      </c>
      <c r="BP195" s="13">
        <f t="shared" si="23"/>
        <v>-0.018</v>
      </c>
      <c r="BQ195" s="13">
        <f t="shared" si="20"/>
        <v>-0.09666666666666668</v>
      </c>
      <c r="BR195" s="5">
        <f t="shared" si="28"/>
        <v>0</v>
      </c>
      <c r="BS195" s="5">
        <f t="shared" si="24"/>
        <v>0.14</v>
      </c>
      <c r="BT195" s="33"/>
      <c r="BU195" s="33">
        <f t="shared" si="26"/>
        <v>0</v>
      </c>
      <c r="BV195" s="36">
        <f t="shared" si="25"/>
        <v>-20</v>
      </c>
      <c r="BW195" s="36">
        <f t="shared" si="29"/>
        <v>1</v>
      </c>
      <c r="BX195" s="33"/>
    </row>
    <row r="196" spans="66:76" ht="15.75">
      <c r="BN196" s="7">
        <f t="shared" si="27"/>
        <v>18</v>
      </c>
      <c r="BO196" s="5">
        <f t="shared" si="22"/>
        <v>0.14</v>
      </c>
      <c r="BP196" s="13">
        <f t="shared" si="23"/>
        <v>-0.018</v>
      </c>
      <c r="BQ196" s="13">
        <f t="shared" si="20"/>
        <v>-0.09666666666666668</v>
      </c>
      <c r="BR196" s="5">
        <f t="shared" si="28"/>
        <v>3</v>
      </c>
      <c r="BS196" s="5">
        <f t="shared" si="24"/>
        <v>-0.15000000000000002</v>
      </c>
      <c r="BT196" s="33"/>
      <c r="BU196" s="33">
        <f t="shared" si="26"/>
        <v>25</v>
      </c>
      <c r="BV196" s="36">
        <f t="shared" si="25"/>
        <v>0</v>
      </c>
      <c r="BW196" s="36">
        <f t="shared" si="29"/>
        <v>0</v>
      </c>
      <c r="BX196" s="33"/>
    </row>
    <row r="197" spans="66:76" ht="15.75">
      <c r="BN197" s="7">
        <f t="shared" si="27"/>
        <v>18</v>
      </c>
      <c r="BO197" s="5">
        <f t="shared" si="22"/>
        <v>0.14</v>
      </c>
      <c r="BP197" s="13">
        <f t="shared" si="23"/>
        <v>-0.018</v>
      </c>
      <c r="BQ197" s="13">
        <f t="shared" si="20"/>
        <v>-0.09666666666666668</v>
      </c>
      <c r="BR197" s="5">
        <f t="shared" si="28"/>
        <v>0</v>
      </c>
      <c r="BS197" s="5">
        <f t="shared" si="24"/>
        <v>0.14</v>
      </c>
      <c r="BT197" s="33"/>
      <c r="BU197" s="33">
        <f t="shared" si="26"/>
        <v>0</v>
      </c>
      <c r="BV197" s="36">
        <f t="shared" si="25"/>
        <v>3.2142857142857144</v>
      </c>
      <c r="BW197" s="36">
        <f t="shared" si="29"/>
        <v>-0.15</v>
      </c>
      <c r="BX197" s="33"/>
    </row>
    <row r="198" spans="66:76" ht="15.75">
      <c r="BN198" s="7">
        <f t="shared" si="27"/>
        <v>19</v>
      </c>
      <c r="BO198" s="5">
        <f t="shared" si="22"/>
        <v>0.12</v>
      </c>
      <c r="BP198" s="13">
        <f t="shared" si="23"/>
        <v>-0.019</v>
      </c>
      <c r="BQ198" s="13">
        <f t="shared" si="20"/>
        <v>-0.09000000000000001</v>
      </c>
      <c r="BR198" s="5">
        <f t="shared" si="28"/>
        <v>-20</v>
      </c>
      <c r="BS198" s="5">
        <f t="shared" si="24"/>
        <v>1</v>
      </c>
      <c r="BT198" s="33"/>
      <c r="BU198" s="33">
        <f t="shared" si="26"/>
        <v>0</v>
      </c>
      <c r="BV198" s="36">
        <f t="shared" si="25"/>
        <v>-20</v>
      </c>
      <c r="BW198" s="36">
        <f t="shared" si="29"/>
        <v>1</v>
      </c>
      <c r="BX198" s="33"/>
    </row>
    <row r="199" spans="66:76" ht="15.75">
      <c r="BN199" s="7">
        <f t="shared" si="27"/>
        <v>19</v>
      </c>
      <c r="BO199" s="5">
        <f t="shared" si="22"/>
        <v>0.12</v>
      </c>
      <c r="BP199" s="13">
        <f t="shared" si="23"/>
        <v>-0.019</v>
      </c>
      <c r="BQ199" s="13">
        <f t="shared" si="20"/>
        <v>-0.09000000000000001</v>
      </c>
      <c r="BR199" s="5">
        <f t="shared" si="28"/>
        <v>0</v>
      </c>
      <c r="BS199" s="5">
        <f t="shared" si="24"/>
        <v>0.12</v>
      </c>
      <c r="BT199" s="33"/>
      <c r="BU199" s="33">
        <f t="shared" si="26"/>
        <v>26</v>
      </c>
      <c r="BV199" s="36">
        <f t="shared" si="25"/>
        <v>0</v>
      </c>
      <c r="BW199" s="36">
        <f t="shared" si="29"/>
        <v>0.020000000000000018</v>
      </c>
      <c r="BX199" s="33"/>
    </row>
    <row r="200" spans="66:76" ht="15.75">
      <c r="BN200" s="7">
        <f t="shared" si="27"/>
        <v>19</v>
      </c>
      <c r="BO200" s="5">
        <f t="shared" si="22"/>
        <v>0.12</v>
      </c>
      <c r="BP200" s="13">
        <f t="shared" si="23"/>
        <v>-0.019</v>
      </c>
      <c r="BQ200" s="13">
        <f t="shared" si="20"/>
        <v>-0.09000000000000001</v>
      </c>
      <c r="BR200" s="5">
        <f t="shared" si="28"/>
        <v>3</v>
      </c>
      <c r="BS200" s="5">
        <f t="shared" si="24"/>
        <v>-0.15000000000000002</v>
      </c>
      <c r="BT200" s="33"/>
      <c r="BU200" s="33">
        <f t="shared" si="26"/>
        <v>0</v>
      </c>
      <c r="BV200" s="36">
        <f t="shared" si="25"/>
        <v>3.2142857142857144</v>
      </c>
      <c r="BW200" s="36">
        <f t="shared" si="29"/>
        <v>-0.15</v>
      </c>
      <c r="BX200" s="33"/>
    </row>
    <row r="201" spans="66:76" ht="15.75">
      <c r="BN201" s="7">
        <f t="shared" si="27"/>
        <v>19</v>
      </c>
      <c r="BO201" s="5">
        <f t="shared" si="22"/>
        <v>0.12</v>
      </c>
      <c r="BP201" s="13">
        <f t="shared" si="23"/>
        <v>-0.019</v>
      </c>
      <c r="BQ201" s="13">
        <f aca="true" t="shared" si="30" ref="BQ201:BQ264">IF($C$3=$C$4,$BW$43,(-$BN$7-BO201)/$BN$4)</f>
        <v>-0.09000000000000001</v>
      </c>
      <c r="BR201" s="5">
        <f t="shared" si="28"/>
        <v>0</v>
      </c>
      <c r="BS201" s="5">
        <f t="shared" si="24"/>
        <v>0.12</v>
      </c>
      <c r="BT201" s="33"/>
      <c r="BU201" s="33">
        <f t="shared" si="26"/>
        <v>0</v>
      </c>
      <c r="BV201" s="36">
        <f t="shared" si="25"/>
        <v>-20</v>
      </c>
      <c r="BW201" s="36">
        <f t="shared" si="29"/>
        <v>1</v>
      </c>
      <c r="BX201" s="33"/>
    </row>
    <row r="202" spans="66:76" ht="15.75">
      <c r="BN202" s="7">
        <f t="shared" si="27"/>
        <v>20</v>
      </c>
      <c r="BO202" s="5">
        <f t="shared" si="22"/>
        <v>0.09999999999999998</v>
      </c>
      <c r="BP202" s="13">
        <f t="shared" si="23"/>
        <v>-0.02</v>
      </c>
      <c r="BQ202" s="13">
        <f t="shared" si="30"/>
        <v>-0.08333333333333333</v>
      </c>
      <c r="BR202" s="5">
        <f t="shared" si="28"/>
        <v>-20</v>
      </c>
      <c r="BS202" s="5">
        <f t="shared" si="24"/>
        <v>1</v>
      </c>
      <c r="BT202" s="33"/>
      <c r="BU202" s="33">
        <f t="shared" si="26"/>
        <v>27</v>
      </c>
      <c r="BV202" s="36">
        <f t="shared" si="25"/>
        <v>0</v>
      </c>
      <c r="BW202" s="36">
        <f t="shared" si="29"/>
        <v>0.040000000000000036</v>
      </c>
      <c r="BX202" s="33"/>
    </row>
    <row r="203" spans="66:76" ht="15.75">
      <c r="BN203" s="7">
        <f t="shared" si="27"/>
        <v>20</v>
      </c>
      <c r="BO203" s="5">
        <f t="shared" si="22"/>
        <v>0.09999999999999998</v>
      </c>
      <c r="BP203" s="13">
        <f t="shared" si="23"/>
        <v>-0.02</v>
      </c>
      <c r="BQ203" s="13">
        <f t="shared" si="30"/>
        <v>-0.08333333333333333</v>
      </c>
      <c r="BR203" s="5">
        <f t="shared" si="28"/>
        <v>0</v>
      </c>
      <c r="BS203" s="5">
        <f t="shared" si="24"/>
        <v>0.09999999999999998</v>
      </c>
      <c r="BT203" s="33"/>
      <c r="BU203" s="33">
        <f t="shared" si="26"/>
        <v>0</v>
      </c>
      <c r="BV203" s="36">
        <f t="shared" si="25"/>
        <v>3.2142857142857144</v>
      </c>
      <c r="BW203" s="36">
        <f t="shared" si="29"/>
        <v>-0.15</v>
      </c>
      <c r="BX203" s="33"/>
    </row>
    <row r="204" spans="66:76" ht="15.75">
      <c r="BN204" s="7">
        <f t="shared" si="27"/>
        <v>20</v>
      </c>
      <c r="BO204" s="5">
        <f t="shared" si="22"/>
        <v>0.09999999999999998</v>
      </c>
      <c r="BP204" s="13">
        <f t="shared" si="23"/>
        <v>-0.02</v>
      </c>
      <c r="BQ204" s="13">
        <f t="shared" si="30"/>
        <v>-0.08333333333333333</v>
      </c>
      <c r="BR204" s="5">
        <f t="shared" si="28"/>
        <v>3</v>
      </c>
      <c r="BS204" s="5">
        <f t="shared" si="24"/>
        <v>-0.15000000000000002</v>
      </c>
      <c r="BT204" s="33"/>
      <c r="BU204" s="33">
        <f t="shared" si="26"/>
        <v>0</v>
      </c>
      <c r="BV204" s="36">
        <f t="shared" si="25"/>
        <v>-20</v>
      </c>
      <c r="BW204" s="36">
        <f t="shared" si="29"/>
        <v>1</v>
      </c>
      <c r="BX204" s="33"/>
    </row>
    <row r="205" spans="66:76" ht="15.75">
      <c r="BN205" s="7">
        <f t="shared" si="27"/>
        <v>20</v>
      </c>
      <c r="BO205" s="5">
        <f t="shared" si="22"/>
        <v>0.09999999999999998</v>
      </c>
      <c r="BP205" s="13">
        <f t="shared" si="23"/>
        <v>-0.02</v>
      </c>
      <c r="BQ205" s="13">
        <f t="shared" si="30"/>
        <v>-0.08333333333333333</v>
      </c>
      <c r="BR205" s="5">
        <f t="shared" si="28"/>
        <v>0</v>
      </c>
      <c r="BS205" s="5">
        <f t="shared" si="24"/>
        <v>0.09999999999999998</v>
      </c>
      <c r="BT205" s="33"/>
      <c r="BU205" s="33">
        <f t="shared" si="26"/>
        <v>28</v>
      </c>
      <c r="BV205" s="36">
        <f t="shared" si="25"/>
        <v>0</v>
      </c>
      <c r="BW205" s="36">
        <f t="shared" si="29"/>
        <v>0.06000000000000005</v>
      </c>
      <c r="BX205" s="33"/>
    </row>
    <row r="206" spans="66:76" ht="15.75">
      <c r="BN206" s="7">
        <f t="shared" si="27"/>
        <v>21</v>
      </c>
      <c r="BO206" s="5">
        <f t="shared" si="22"/>
        <v>0.08000000000000002</v>
      </c>
      <c r="BP206" s="13">
        <f t="shared" si="23"/>
        <v>-0.020999999999999998</v>
      </c>
      <c r="BQ206" s="13">
        <f t="shared" si="30"/>
        <v>-0.07666666666666667</v>
      </c>
      <c r="BR206" s="5">
        <f t="shared" si="28"/>
        <v>-20</v>
      </c>
      <c r="BS206" s="5">
        <f t="shared" si="24"/>
        <v>1</v>
      </c>
      <c r="BT206" s="33"/>
      <c r="BU206" s="33">
        <f t="shared" si="26"/>
        <v>0</v>
      </c>
      <c r="BV206" s="36">
        <f t="shared" si="25"/>
        <v>3.2142857142857144</v>
      </c>
      <c r="BW206" s="36">
        <f t="shared" si="29"/>
        <v>-0.15</v>
      </c>
      <c r="BX206" s="33"/>
    </row>
    <row r="207" spans="66:76" ht="15.75">
      <c r="BN207" s="7">
        <f t="shared" si="27"/>
        <v>21</v>
      </c>
      <c r="BO207" s="5">
        <f t="shared" si="22"/>
        <v>0.08000000000000002</v>
      </c>
      <c r="BP207" s="13">
        <f t="shared" si="23"/>
        <v>-0.020999999999999998</v>
      </c>
      <c r="BQ207" s="13">
        <f t="shared" si="30"/>
        <v>-0.07666666666666667</v>
      </c>
      <c r="BR207" s="5">
        <f t="shared" si="28"/>
        <v>0</v>
      </c>
      <c r="BS207" s="5">
        <f t="shared" si="24"/>
        <v>0.08000000000000002</v>
      </c>
      <c r="BT207" s="33"/>
      <c r="BU207" s="33">
        <f t="shared" si="26"/>
        <v>0</v>
      </c>
      <c r="BV207" s="36">
        <f t="shared" si="25"/>
        <v>-20</v>
      </c>
      <c r="BW207" s="36">
        <f t="shared" si="29"/>
        <v>1</v>
      </c>
      <c r="BX207" s="33"/>
    </row>
    <row r="208" spans="66:76" ht="15.75">
      <c r="BN208" s="7">
        <f t="shared" si="27"/>
        <v>21</v>
      </c>
      <c r="BO208" s="5">
        <f t="shared" si="22"/>
        <v>0.08000000000000002</v>
      </c>
      <c r="BP208" s="13">
        <f t="shared" si="23"/>
        <v>-0.020999999999999998</v>
      </c>
      <c r="BQ208" s="13">
        <f t="shared" si="30"/>
        <v>-0.07666666666666667</v>
      </c>
      <c r="BR208" s="5">
        <f t="shared" si="28"/>
        <v>3</v>
      </c>
      <c r="BS208" s="5">
        <f t="shared" si="24"/>
        <v>-0.15000000000000002</v>
      </c>
      <c r="BT208" s="33"/>
      <c r="BU208" s="33">
        <f t="shared" si="26"/>
        <v>29</v>
      </c>
      <c r="BV208" s="36">
        <f t="shared" si="25"/>
        <v>0</v>
      </c>
      <c r="BW208" s="36">
        <f t="shared" si="29"/>
        <v>0.07999999999999996</v>
      </c>
      <c r="BX208" s="33"/>
    </row>
    <row r="209" spans="66:76" ht="15.75">
      <c r="BN209" s="7">
        <f t="shared" si="27"/>
        <v>21</v>
      </c>
      <c r="BO209" s="5">
        <f t="shared" si="22"/>
        <v>0.08000000000000002</v>
      </c>
      <c r="BP209" s="13">
        <f t="shared" si="23"/>
        <v>-0.020999999999999998</v>
      </c>
      <c r="BQ209" s="13">
        <f t="shared" si="30"/>
        <v>-0.07666666666666667</v>
      </c>
      <c r="BR209" s="5">
        <f t="shared" si="28"/>
        <v>0</v>
      </c>
      <c r="BS209" s="5">
        <f t="shared" si="24"/>
        <v>0.08000000000000002</v>
      </c>
      <c r="BT209" s="33"/>
      <c r="BU209" s="33">
        <f t="shared" si="26"/>
        <v>0</v>
      </c>
      <c r="BV209" s="36">
        <f t="shared" si="25"/>
        <v>3.2142857142857144</v>
      </c>
      <c r="BW209" s="36">
        <f t="shared" si="29"/>
        <v>-0.15</v>
      </c>
      <c r="BX209" s="33"/>
    </row>
    <row r="210" spans="66:76" ht="15.75">
      <c r="BN210" s="7">
        <f t="shared" si="27"/>
        <v>22</v>
      </c>
      <c r="BO210" s="5">
        <f t="shared" si="22"/>
        <v>0.06</v>
      </c>
      <c r="BP210" s="13">
        <f t="shared" si="23"/>
        <v>-0.022</v>
      </c>
      <c r="BQ210" s="13">
        <f t="shared" si="30"/>
        <v>-0.06999999999999999</v>
      </c>
      <c r="BR210" s="5">
        <f t="shared" si="28"/>
        <v>-20</v>
      </c>
      <c r="BS210" s="5">
        <f t="shared" si="24"/>
        <v>1</v>
      </c>
      <c r="BT210" s="33"/>
      <c r="BU210" s="33">
        <f t="shared" si="26"/>
        <v>0</v>
      </c>
      <c r="BV210" s="36">
        <f t="shared" si="25"/>
        <v>-20</v>
      </c>
      <c r="BW210" s="36">
        <f t="shared" si="29"/>
        <v>1</v>
      </c>
      <c r="BX210" s="33"/>
    </row>
    <row r="211" spans="66:76" ht="15.75">
      <c r="BN211" s="7">
        <f t="shared" si="27"/>
        <v>22</v>
      </c>
      <c r="BO211" s="5">
        <f t="shared" si="22"/>
        <v>0.06</v>
      </c>
      <c r="BP211" s="13">
        <f t="shared" si="23"/>
        <v>-0.022</v>
      </c>
      <c r="BQ211" s="13">
        <f t="shared" si="30"/>
        <v>-0.06999999999999999</v>
      </c>
      <c r="BR211" s="5">
        <f t="shared" si="28"/>
        <v>0</v>
      </c>
      <c r="BS211" s="5">
        <f t="shared" si="24"/>
        <v>0.06</v>
      </c>
      <c r="BT211" s="33"/>
      <c r="BU211" s="33">
        <f t="shared" si="26"/>
        <v>30</v>
      </c>
      <c r="BV211" s="36">
        <f t="shared" si="25"/>
        <v>0</v>
      </c>
      <c r="BW211" s="36">
        <f t="shared" si="29"/>
        <v>0.09999999999999998</v>
      </c>
      <c r="BX211" s="33"/>
    </row>
    <row r="212" spans="66:76" ht="15.75">
      <c r="BN212" s="7">
        <f t="shared" si="27"/>
        <v>22</v>
      </c>
      <c r="BO212" s="5">
        <f t="shared" si="22"/>
        <v>0.06</v>
      </c>
      <c r="BP212" s="13">
        <f t="shared" si="23"/>
        <v>-0.022</v>
      </c>
      <c r="BQ212" s="13">
        <f t="shared" si="30"/>
        <v>-0.06999999999999999</v>
      </c>
      <c r="BR212" s="5">
        <f t="shared" si="28"/>
        <v>3</v>
      </c>
      <c r="BS212" s="5">
        <f t="shared" si="24"/>
        <v>-0.14999999999999997</v>
      </c>
      <c r="BT212" s="33"/>
      <c r="BU212" s="33">
        <f t="shared" si="26"/>
        <v>0</v>
      </c>
      <c r="BV212" s="36">
        <f t="shared" si="25"/>
        <v>3.2142857142857144</v>
      </c>
      <c r="BW212" s="36">
        <f t="shared" si="29"/>
        <v>-0.15</v>
      </c>
      <c r="BX212" s="33"/>
    </row>
    <row r="213" spans="66:76" ht="15.75">
      <c r="BN213" s="7">
        <f t="shared" si="27"/>
        <v>22</v>
      </c>
      <c r="BO213" s="5">
        <f t="shared" si="22"/>
        <v>0.06</v>
      </c>
      <c r="BP213" s="13">
        <f t="shared" si="23"/>
        <v>-0.022</v>
      </c>
      <c r="BQ213" s="13">
        <f t="shared" si="30"/>
        <v>-0.06999999999999999</v>
      </c>
      <c r="BR213" s="5">
        <f t="shared" si="28"/>
        <v>0</v>
      </c>
      <c r="BS213" s="5">
        <f t="shared" si="24"/>
        <v>0.06</v>
      </c>
      <c r="BT213" s="33"/>
      <c r="BU213" s="33">
        <f t="shared" si="26"/>
        <v>0</v>
      </c>
      <c r="BV213" s="36">
        <f t="shared" si="25"/>
        <v>-20</v>
      </c>
      <c r="BW213" s="36">
        <f t="shared" si="29"/>
        <v>1</v>
      </c>
      <c r="BX213" s="33"/>
    </row>
    <row r="214" spans="66:76" ht="15.75">
      <c r="BN214" s="7">
        <f t="shared" si="27"/>
        <v>23</v>
      </c>
      <c r="BO214" s="5">
        <f t="shared" si="22"/>
        <v>0.03999999999999998</v>
      </c>
      <c r="BP214" s="13">
        <f t="shared" si="23"/>
        <v>-0.023</v>
      </c>
      <c r="BQ214" s="13">
        <f t="shared" si="30"/>
        <v>-0.06333333333333332</v>
      </c>
      <c r="BR214" s="5">
        <f t="shared" si="28"/>
        <v>-20</v>
      </c>
      <c r="BS214" s="5">
        <f t="shared" si="24"/>
        <v>1</v>
      </c>
      <c r="BT214" s="33"/>
      <c r="BU214" s="33">
        <f t="shared" si="26"/>
        <v>31</v>
      </c>
      <c r="BV214" s="36">
        <f t="shared" si="25"/>
        <v>0</v>
      </c>
      <c r="BW214" s="36">
        <f t="shared" si="29"/>
        <v>0.12</v>
      </c>
      <c r="BX214" s="33"/>
    </row>
    <row r="215" spans="66:76" ht="15.75">
      <c r="BN215" s="7">
        <f t="shared" si="27"/>
        <v>23</v>
      </c>
      <c r="BO215" s="5">
        <f t="shared" si="22"/>
        <v>0.03999999999999998</v>
      </c>
      <c r="BP215" s="13">
        <f t="shared" si="23"/>
        <v>-0.023</v>
      </c>
      <c r="BQ215" s="13">
        <f t="shared" si="30"/>
        <v>-0.06333333333333332</v>
      </c>
      <c r="BR215" s="5">
        <f t="shared" si="28"/>
        <v>0</v>
      </c>
      <c r="BS215" s="5">
        <f t="shared" si="24"/>
        <v>0.03999999999999998</v>
      </c>
      <c r="BT215" s="33"/>
      <c r="BU215" s="33">
        <f t="shared" si="26"/>
        <v>0</v>
      </c>
      <c r="BV215" s="36">
        <f t="shared" si="25"/>
        <v>3.2142857142857144</v>
      </c>
      <c r="BW215" s="36">
        <f t="shared" si="29"/>
        <v>-0.15</v>
      </c>
      <c r="BX215" s="33"/>
    </row>
    <row r="216" spans="66:76" ht="15.75">
      <c r="BN216" s="7">
        <f t="shared" si="27"/>
        <v>23</v>
      </c>
      <c r="BO216" s="5">
        <f t="shared" si="22"/>
        <v>0.03999999999999998</v>
      </c>
      <c r="BP216" s="13">
        <f t="shared" si="23"/>
        <v>-0.023</v>
      </c>
      <c r="BQ216" s="13">
        <f t="shared" si="30"/>
        <v>-0.06333333333333332</v>
      </c>
      <c r="BR216" s="5">
        <f t="shared" si="28"/>
        <v>3</v>
      </c>
      <c r="BS216" s="5">
        <f t="shared" si="24"/>
        <v>-0.15</v>
      </c>
      <c r="BT216" s="33"/>
      <c r="BU216" s="33">
        <f t="shared" si="26"/>
        <v>0</v>
      </c>
      <c r="BV216" s="36">
        <f t="shared" si="25"/>
        <v>-20</v>
      </c>
      <c r="BW216" s="36">
        <f t="shared" si="29"/>
        <v>1</v>
      </c>
      <c r="BX216" s="33"/>
    </row>
    <row r="217" spans="66:76" ht="15.75">
      <c r="BN217" s="7">
        <f t="shared" si="27"/>
        <v>23</v>
      </c>
      <c r="BO217" s="5">
        <f t="shared" si="22"/>
        <v>0.03999999999999998</v>
      </c>
      <c r="BP217" s="13">
        <f t="shared" si="23"/>
        <v>-0.023</v>
      </c>
      <c r="BQ217" s="13">
        <f t="shared" si="30"/>
        <v>-0.06333333333333332</v>
      </c>
      <c r="BR217" s="5">
        <f t="shared" si="28"/>
        <v>0</v>
      </c>
      <c r="BS217" s="5">
        <f t="shared" si="24"/>
        <v>0.03999999999999998</v>
      </c>
      <c r="BT217" s="33"/>
      <c r="BU217" s="33">
        <f t="shared" si="26"/>
        <v>32</v>
      </c>
      <c r="BV217" s="36">
        <f t="shared" si="25"/>
        <v>0</v>
      </c>
      <c r="BW217" s="36">
        <f t="shared" si="29"/>
        <v>0.14</v>
      </c>
      <c r="BX217" s="33"/>
    </row>
    <row r="218" spans="66:76" ht="15.75">
      <c r="BN218" s="7">
        <f t="shared" si="27"/>
        <v>24</v>
      </c>
      <c r="BO218" s="5">
        <f t="shared" si="22"/>
        <v>0.020000000000000018</v>
      </c>
      <c r="BP218" s="13">
        <f t="shared" si="23"/>
        <v>-0.024</v>
      </c>
      <c r="BQ218" s="13">
        <f t="shared" si="30"/>
        <v>-0.05666666666666667</v>
      </c>
      <c r="BR218" s="5">
        <f t="shared" si="28"/>
        <v>-20</v>
      </c>
      <c r="BS218" s="5">
        <f t="shared" si="24"/>
        <v>1</v>
      </c>
      <c r="BT218" s="33"/>
      <c r="BU218" s="33">
        <f t="shared" si="26"/>
        <v>0</v>
      </c>
      <c r="BV218" s="36">
        <f t="shared" si="25"/>
        <v>3.2142857142857144</v>
      </c>
      <c r="BW218" s="36">
        <f t="shared" si="29"/>
        <v>-0.15</v>
      </c>
      <c r="BX218" s="33"/>
    </row>
    <row r="219" spans="66:76" ht="15.75">
      <c r="BN219" s="7">
        <f t="shared" si="27"/>
        <v>24</v>
      </c>
      <c r="BO219" s="5">
        <f t="shared" si="22"/>
        <v>0.020000000000000018</v>
      </c>
      <c r="BP219" s="13">
        <f t="shared" si="23"/>
        <v>-0.024</v>
      </c>
      <c r="BQ219" s="13">
        <f t="shared" si="30"/>
        <v>-0.05666666666666667</v>
      </c>
      <c r="BR219" s="5">
        <f t="shared" si="28"/>
        <v>0</v>
      </c>
      <c r="BS219" s="5">
        <f t="shared" si="24"/>
        <v>0.020000000000000018</v>
      </c>
      <c r="BT219" s="33"/>
      <c r="BU219" s="33">
        <f t="shared" si="26"/>
        <v>0</v>
      </c>
      <c r="BV219" s="36">
        <f t="shared" si="25"/>
        <v>-20</v>
      </c>
      <c r="BW219" s="36">
        <f t="shared" si="29"/>
        <v>1</v>
      </c>
      <c r="BX219" s="33"/>
    </row>
    <row r="220" spans="66:76" ht="15.75">
      <c r="BN220" s="7">
        <f t="shared" si="27"/>
        <v>24</v>
      </c>
      <c r="BO220" s="5">
        <f t="shared" si="22"/>
        <v>0.020000000000000018</v>
      </c>
      <c r="BP220" s="13">
        <f t="shared" si="23"/>
        <v>-0.024</v>
      </c>
      <c r="BQ220" s="13">
        <f t="shared" si="30"/>
        <v>-0.05666666666666667</v>
      </c>
      <c r="BR220" s="5">
        <f t="shared" si="28"/>
        <v>3</v>
      </c>
      <c r="BS220" s="5">
        <f t="shared" si="24"/>
        <v>-0.15</v>
      </c>
      <c r="BT220" s="33"/>
      <c r="BU220" s="33">
        <f t="shared" si="26"/>
        <v>33</v>
      </c>
      <c r="BV220" s="36">
        <f t="shared" si="25"/>
        <v>0</v>
      </c>
      <c r="BW220" s="36">
        <f t="shared" si="29"/>
        <v>0.16000000000000003</v>
      </c>
      <c r="BX220" s="33"/>
    </row>
    <row r="221" spans="66:76" ht="15.75">
      <c r="BN221" s="7">
        <f t="shared" si="27"/>
        <v>24</v>
      </c>
      <c r="BO221" s="5">
        <f t="shared" si="22"/>
        <v>0.020000000000000018</v>
      </c>
      <c r="BP221" s="13">
        <f t="shared" si="23"/>
        <v>-0.024</v>
      </c>
      <c r="BQ221" s="13">
        <f t="shared" si="30"/>
        <v>-0.05666666666666667</v>
      </c>
      <c r="BR221" s="5">
        <f t="shared" si="28"/>
        <v>0</v>
      </c>
      <c r="BS221" s="5">
        <f t="shared" si="24"/>
        <v>0.020000000000000018</v>
      </c>
      <c r="BT221" s="33"/>
      <c r="BU221" s="33">
        <f t="shared" si="26"/>
        <v>0</v>
      </c>
      <c r="BV221" s="36">
        <f t="shared" si="25"/>
        <v>3.2142857142857144</v>
      </c>
      <c r="BW221" s="36">
        <f t="shared" si="29"/>
        <v>-0.15</v>
      </c>
      <c r="BX221" s="33"/>
    </row>
    <row r="222" spans="66:76" ht="15.75">
      <c r="BN222" s="7">
        <f t="shared" si="27"/>
        <v>25</v>
      </c>
      <c r="BO222" s="5">
        <f t="shared" si="22"/>
        <v>0</v>
      </c>
      <c r="BP222" s="13">
        <f t="shared" si="23"/>
        <v>-0.025</v>
      </c>
      <c r="BQ222" s="13">
        <f t="shared" si="30"/>
        <v>-0.049999999999999996</v>
      </c>
      <c r="BR222" s="5">
        <f t="shared" si="28"/>
        <v>-20</v>
      </c>
      <c r="BS222" s="5">
        <f t="shared" si="24"/>
        <v>1</v>
      </c>
      <c r="BT222" s="33"/>
      <c r="BU222" s="33">
        <f t="shared" si="26"/>
        <v>0</v>
      </c>
      <c r="BV222" s="36">
        <f t="shared" si="25"/>
        <v>-20</v>
      </c>
      <c r="BW222" s="36">
        <f t="shared" si="29"/>
        <v>1</v>
      </c>
      <c r="BX222" s="33"/>
    </row>
    <row r="223" spans="66:76" ht="15.75">
      <c r="BN223" s="7">
        <f t="shared" si="27"/>
        <v>25</v>
      </c>
      <c r="BO223" s="5">
        <f t="shared" si="22"/>
        <v>0</v>
      </c>
      <c r="BP223" s="13">
        <f t="shared" si="23"/>
        <v>-0.025</v>
      </c>
      <c r="BQ223" s="13">
        <f t="shared" si="30"/>
        <v>-0.049999999999999996</v>
      </c>
      <c r="BR223" s="5">
        <f t="shared" si="28"/>
        <v>0</v>
      </c>
      <c r="BS223" s="5">
        <f t="shared" si="24"/>
        <v>0</v>
      </c>
      <c r="BT223" s="33"/>
      <c r="BU223" s="33">
        <f t="shared" si="26"/>
        <v>34</v>
      </c>
      <c r="BV223" s="36">
        <f t="shared" si="25"/>
        <v>0</v>
      </c>
      <c r="BW223" s="36">
        <f t="shared" si="29"/>
        <v>0.18000000000000005</v>
      </c>
      <c r="BX223" s="33"/>
    </row>
    <row r="224" spans="66:76" ht="15.75">
      <c r="BN224" s="7">
        <f t="shared" si="27"/>
        <v>25</v>
      </c>
      <c r="BO224" s="5">
        <f t="shared" si="22"/>
        <v>0</v>
      </c>
      <c r="BP224" s="13">
        <f t="shared" si="23"/>
        <v>-0.025</v>
      </c>
      <c r="BQ224" s="13">
        <f t="shared" si="30"/>
        <v>-0.049999999999999996</v>
      </c>
      <c r="BR224" s="5">
        <f t="shared" si="28"/>
        <v>3</v>
      </c>
      <c r="BS224" s="5">
        <f t="shared" si="24"/>
        <v>-0.15</v>
      </c>
      <c r="BT224" s="33"/>
      <c r="BU224" s="33">
        <f t="shared" si="26"/>
        <v>0</v>
      </c>
      <c r="BV224" s="36">
        <f t="shared" si="25"/>
        <v>3.2142857142857144</v>
      </c>
      <c r="BW224" s="36">
        <f t="shared" si="29"/>
        <v>-0.15</v>
      </c>
      <c r="BX224" s="33"/>
    </row>
    <row r="225" spans="66:76" ht="15.75">
      <c r="BN225" s="7">
        <f t="shared" si="27"/>
        <v>25</v>
      </c>
      <c r="BO225" s="5">
        <f t="shared" si="22"/>
        <v>0</v>
      </c>
      <c r="BP225" s="13">
        <f t="shared" si="23"/>
        <v>-0.025</v>
      </c>
      <c r="BQ225" s="13">
        <f t="shared" si="30"/>
        <v>-0.049999999999999996</v>
      </c>
      <c r="BR225" s="5">
        <f t="shared" si="28"/>
        <v>0</v>
      </c>
      <c r="BS225" s="5">
        <f t="shared" si="24"/>
        <v>0</v>
      </c>
      <c r="BT225" s="33"/>
      <c r="BU225" s="33">
        <f t="shared" si="26"/>
        <v>0</v>
      </c>
      <c r="BV225" s="36">
        <f t="shared" si="25"/>
        <v>-20</v>
      </c>
      <c r="BW225" s="36">
        <f aca="true" t="shared" si="31" ref="BW225:BW256">IF($BV$117=0,0,IF(BV225&lt;0,$C$6,IF(BV225&gt;0,-$BN$7,-$C$2/2+$BP$118*BU225)))</f>
        <v>1</v>
      </c>
      <c r="BX225" s="33"/>
    </row>
    <row r="226" spans="66:76" ht="15.75">
      <c r="BN226" s="7">
        <f t="shared" si="27"/>
        <v>26</v>
      </c>
      <c r="BO226" s="5">
        <f t="shared" si="22"/>
        <v>-0.020000000000000018</v>
      </c>
      <c r="BP226" s="13">
        <f t="shared" si="23"/>
        <v>-0.026000000000000002</v>
      </c>
      <c r="BQ226" s="13">
        <f t="shared" si="30"/>
        <v>-0.04333333333333333</v>
      </c>
      <c r="BR226" s="5">
        <f t="shared" si="28"/>
        <v>-20</v>
      </c>
      <c r="BS226" s="5">
        <f t="shared" si="24"/>
        <v>1</v>
      </c>
      <c r="BT226" s="33"/>
      <c r="BU226" s="33">
        <f t="shared" si="26"/>
        <v>35</v>
      </c>
      <c r="BV226" s="36">
        <f t="shared" si="25"/>
        <v>0</v>
      </c>
      <c r="BW226" s="36">
        <f t="shared" si="31"/>
        <v>0.20000000000000007</v>
      </c>
      <c r="BX226" s="33"/>
    </row>
    <row r="227" spans="66:76" ht="15.75">
      <c r="BN227" s="7">
        <f t="shared" si="27"/>
        <v>26</v>
      </c>
      <c r="BO227" s="5">
        <f t="shared" si="22"/>
        <v>-0.020000000000000018</v>
      </c>
      <c r="BP227" s="13">
        <f t="shared" si="23"/>
        <v>-0.026000000000000002</v>
      </c>
      <c r="BQ227" s="13">
        <f t="shared" si="30"/>
        <v>-0.04333333333333333</v>
      </c>
      <c r="BR227" s="5">
        <f t="shared" si="28"/>
        <v>0</v>
      </c>
      <c r="BS227" s="5">
        <f t="shared" si="24"/>
        <v>-0.020000000000000018</v>
      </c>
      <c r="BT227" s="33"/>
      <c r="BU227" s="33">
        <f t="shared" si="26"/>
        <v>0</v>
      </c>
      <c r="BV227" s="36">
        <f t="shared" si="25"/>
        <v>3.2142857142857144</v>
      </c>
      <c r="BW227" s="36">
        <f t="shared" si="31"/>
        <v>-0.15</v>
      </c>
      <c r="BX227" s="33"/>
    </row>
    <row r="228" spans="66:76" ht="15.75">
      <c r="BN228" s="7">
        <f t="shared" si="27"/>
        <v>26</v>
      </c>
      <c r="BO228" s="5">
        <f t="shared" si="22"/>
        <v>-0.020000000000000018</v>
      </c>
      <c r="BP228" s="13">
        <f t="shared" si="23"/>
        <v>-0.026000000000000002</v>
      </c>
      <c r="BQ228" s="13">
        <f t="shared" si="30"/>
        <v>-0.04333333333333333</v>
      </c>
      <c r="BR228" s="5">
        <f t="shared" si="28"/>
        <v>3</v>
      </c>
      <c r="BS228" s="5">
        <f t="shared" si="24"/>
        <v>-0.15</v>
      </c>
      <c r="BT228" s="33"/>
      <c r="BU228" s="33">
        <f t="shared" si="26"/>
        <v>0</v>
      </c>
      <c r="BV228" s="36">
        <f t="shared" si="25"/>
        <v>-20</v>
      </c>
      <c r="BW228" s="36">
        <f t="shared" si="31"/>
        <v>1</v>
      </c>
      <c r="BX228" s="33"/>
    </row>
    <row r="229" spans="66:76" ht="15.75">
      <c r="BN229" s="7">
        <f t="shared" si="27"/>
        <v>26</v>
      </c>
      <c r="BO229" s="5">
        <f t="shared" si="22"/>
        <v>-0.020000000000000018</v>
      </c>
      <c r="BP229" s="13">
        <f t="shared" si="23"/>
        <v>-0.026000000000000002</v>
      </c>
      <c r="BQ229" s="13">
        <f t="shared" si="30"/>
        <v>-0.04333333333333333</v>
      </c>
      <c r="BR229" s="5">
        <f t="shared" si="28"/>
        <v>0</v>
      </c>
      <c r="BS229" s="5">
        <f t="shared" si="24"/>
        <v>-0.020000000000000018</v>
      </c>
      <c r="BT229" s="33"/>
      <c r="BU229" s="33">
        <f t="shared" si="26"/>
        <v>36</v>
      </c>
      <c r="BV229" s="36">
        <f t="shared" si="25"/>
        <v>0</v>
      </c>
      <c r="BW229" s="36">
        <f t="shared" si="31"/>
        <v>0.21999999999999997</v>
      </c>
      <c r="BX229" s="33"/>
    </row>
    <row r="230" spans="66:76" ht="15.75">
      <c r="BN230" s="7">
        <f t="shared" si="27"/>
        <v>27</v>
      </c>
      <c r="BO230" s="5">
        <f t="shared" si="22"/>
        <v>-0.040000000000000036</v>
      </c>
      <c r="BP230" s="13">
        <f t="shared" si="23"/>
        <v>-0.027000000000000003</v>
      </c>
      <c r="BQ230" s="13">
        <f t="shared" si="30"/>
        <v>-0.03666666666666665</v>
      </c>
      <c r="BR230" s="5">
        <f t="shared" si="28"/>
        <v>-20</v>
      </c>
      <c r="BS230" s="5">
        <f t="shared" si="24"/>
        <v>1</v>
      </c>
      <c r="BT230" s="33"/>
      <c r="BU230" s="33">
        <f t="shared" si="26"/>
        <v>0</v>
      </c>
      <c r="BV230" s="36">
        <f t="shared" si="25"/>
        <v>3.2142857142857144</v>
      </c>
      <c r="BW230" s="36">
        <f t="shared" si="31"/>
        <v>-0.15</v>
      </c>
      <c r="BX230" s="33"/>
    </row>
    <row r="231" spans="66:76" ht="15.75">
      <c r="BN231" s="7">
        <f t="shared" si="27"/>
        <v>27</v>
      </c>
      <c r="BO231" s="5">
        <f t="shared" si="22"/>
        <v>-0.040000000000000036</v>
      </c>
      <c r="BP231" s="13">
        <f t="shared" si="23"/>
        <v>-0.027000000000000003</v>
      </c>
      <c r="BQ231" s="13">
        <f t="shared" si="30"/>
        <v>-0.03666666666666665</v>
      </c>
      <c r="BR231" s="5">
        <f t="shared" si="28"/>
        <v>0</v>
      </c>
      <c r="BS231" s="5">
        <f t="shared" si="24"/>
        <v>-0.040000000000000036</v>
      </c>
      <c r="BT231" s="33"/>
      <c r="BU231" s="33">
        <f t="shared" si="26"/>
        <v>0</v>
      </c>
      <c r="BV231" s="36">
        <f t="shared" si="25"/>
        <v>-20</v>
      </c>
      <c r="BW231" s="36">
        <f t="shared" si="31"/>
        <v>1</v>
      </c>
      <c r="BX231" s="33"/>
    </row>
    <row r="232" spans="66:76" ht="15.75">
      <c r="BN232" s="7">
        <f t="shared" si="27"/>
        <v>27</v>
      </c>
      <c r="BO232" s="5">
        <f t="shared" si="22"/>
        <v>-0.040000000000000036</v>
      </c>
      <c r="BP232" s="13">
        <f t="shared" si="23"/>
        <v>-0.027000000000000003</v>
      </c>
      <c r="BQ232" s="13">
        <f t="shared" si="30"/>
        <v>-0.03666666666666665</v>
      </c>
      <c r="BR232" s="5">
        <f t="shared" si="28"/>
        <v>3</v>
      </c>
      <c r="BS232" s="5">
        <f t="shared" si="24"/>
        <v>-0.15</v>
      </c>
      <c r="BT232" s="33"/>
      <c r="BU232" s="33">
        <f t="shared" si="26"/>
        <v>37</v>
      </c>
      <c r="BV232" s="36">
        <f t="shared" si="25"/>
        <v>0</v>
      </c>
      <c r="BW232" s="36">
        <f t="shared" si="31"/>
        <v>0.24</v>
      </c>
      <c r="BX232" s="33"/>
    </row>
    <row r="233" spans="66:76" ht="15.75">
      <c r="BN233" s="7">
        <f t="shared" si="27"/>
        <v>27</v>
      </c>
      <c r="BO233" s="5">
        <f t="shared" si="22"/>
        <v>-0.040000000000000036</v>
      </c>
      <c r="BP233" s="13">
        <f t="shared" si="23"/>
        <v>-0.027000000000000003</v>
      </c>
      <c r="BQ233" s="13">
        <f t="shared" si="30"/>
        <v>-0.03666666666666665</v>
      </c>
      <c r="BR233" s="5">
        <f t="shared" si="28"/>
        <v>0</v>
      </c>
      <c r="BS233" s="5">
        <f t="shared" si="24"/>
        <v>-0.040000000000000036</v>
      </c>
      <c r="BT233" s="33"/>
      <c r="BU233" s="33">
        <f t="shared" si="26"/>
        <v>0</v>
      </c>
      <c r="BV233" s="36">
        <f t="shared" si="25"/>
        <v>3.2142857142857144</v>
      </c>
      <c r="BW233" s="36">
        <f t="shared" si="31"/>
        <v>-0.15</v>
      </c>
      <c r="BX233" s="33"/>
    </row>
    <row r="234" spans="66:76" ht="15.75">
      <c r="BN234" s="7">
        <f t="shared" si="27"/>
        <v>28</v>
      </c>
      <c r="BO234" s="5">
        <f t="shared" si="22"/>
        <v>-0.06000000000000005</v>
      </c>
      <c r="BP234" s="13">
        <f t="shared" si="23"/>
        <v>-0.028000000000000004</v>
      </c>
      <c r="BQ234" s="13">
        <f t="shared" si="30"/>
        <v>-0.02999999999999998</v>
      </c>
      <c r="BR234" s="5">
        <f t="shared" si="28"/>
        <v>-20</v>
      </c>
      <c r="BS234" s="5">
        <f t="shared" si="24"/>
        <v>1</v>
      </c>
      <c r="BT234" s="33"/>
      <c r="BU234" s="33">
        <f t="shared" si="26"/>
        <v>0</v>
      </c>
      <c r="BV234" s="36">
        <f t="shared" si="25"/>
        <v>-20</v>
      </c>
      <c r="BW234" s="36">
        <f t="shared" si="31"/>
        <v>1</v>
      </c>
      <c r="BX234" s="33"/>
    </row>
    <row r="235" spans="66:76" ht="15.75">
      <c r="BN235" s="7">
        <f t="shared" si="27"/>
        <v>28</v>
      </c>
      <c r="BO235" s="5">
        <f t="shared" si="22"/>
        <v>-0.06000000000000005</v>
      </c>
      <c r="BP235" s="13">
        <f t="shared" si="23"/>
        <v>-0.028000000000000004</v>
      </c>
      <c r="BQ235" s="13">
        <f t="shared" si="30"/>
        <v>-0.02999999999999998</v>
      </c>
      <c r="BR235" s="5">
        <f t="shared" si="28"/>
        <v>0</v>
      </c>
      <c r="BS235" s="5">
        <f t="shared" si="24"/>
        <v>-0.06000000000000005</v>
      </c>
      <c r="BT235" s="33"/>
      <c r="BU235" s="33">
        <f t="shared" si="26"/>
        <v>38</v>
      </c>
      <c r="BV235" s="36">
        <f t="shared" si="25"/>
        <v>0</v>
      </c>
      <c r="BW235" s="36">
        <f t="shared" si="31"/>
        <v>0.26</v>
      </c>
      <c r="BX235" s="33"/>
    </row>
    <row r="236" spans="66:76" ht="15.75">
      <c r="BN236" s="7">
        <f t="shared" si="27"/>
        <v>28</v>
      </c>
      <c r="BO236" s="5">
        <f t="shared" si="22"/>
        <v>-0.06000000000000005</v>
      </c>
      <c r="BP236" s="13">
        <f t="shared" si="23"/>
        <v>-0.028000000000000004</v>
      </c>
      <c r="BQ236" s="13">
        <f t="shared" si="30"/>
        <v>-0.02999999999999998</v>
      </c>
      <c r="BR236" s="5">
        <f t="shared" si="28"/>
        <v>3</v>
      </c>
      <c r="BS236" s="5">
        <f t="shared" si="24"/>
        <v>-0.15</v>
      </c>
      <c r="BT236" s="33"/>
      <c r="BU236" s="33">
        <f t="shared" si="26"/>
        <v>0</v>
      </c>
      <c r="BV236" s="36">
        <f t="shared" si="25"/>
        <v>3.2142857142857144</v>
      </c>
      <c r="BW236" s="36">
        <f t="shared" si="31"/>
        <v>-0.15</v>
      </c>
      <c r="BX236" s="33"/>
    </row>
    <row r="237" spans="66:76" ht="15.75">
      <c r="BN237" s="7">
        <f t="shared" si="27"/>
        <v>28</v>
      </c>
      <c r="BO237" s="5">
        <f t="shared" si="22"/>
        <v>-0.06000000000000005</v>
      </c>
      <c r="BP237" s="13">
        <f t="shared" si="23"/>
        <v>-0.028000000000000004</v>
      </c>
      <c r="BQ237" s="13">
        <f t="shared" si="30"/>
        <v>-0.02999999999999998</v>
      </c>
      <c r="BR237" s="5">
        <f t="shared" si="28"/>
        <v>0</v>
      </c>
      <c r="BS237" s="5">
        <f t="shared" si="24"/>
        <v>-0.06000000000000005</v>
      </c>
      <c r="BT237" s="33"/>
      <c r="BU237" s="33">
        <f t="shared" si="26"/>
        <v>0</v>
      </c>
      <c r="BV237" s="36">
        <f t="shared" si="25"/>
        <v>-20</v>
      </c>
      <c r="BW237" s="36">
        <f t="shared" si="31"/>
        <v>1</v>
      </c>
      <c r="BX237" s="33"/>
    </row>
    <row r="238" spans="66:76" ht="15.75">
      <c r="BN238" s="7">
        <f t="shared" si="27"/>
        <v>29</v>
      </c>
      <c r="BO238" s="5">
        <f t="shared" si="22"/>
        <v>-0.07999999999999996</v>
      </c>
      <c r="BP238" s="13">
        <f t="shared" si="23"/>
        <v>-0.028999999999999998</v>
      </c>
      <c r="BQ238" s="13">
        <f t="shared" si="30"/>
        <v>-0.023333333333333345</v>
      </c>
      <c r="BR238" s="5">
        <f t="shared" si="28"/>
        <v>-20</v>
      </c>
      <c r="BS238" s="5">
        <f t="shared" si="24"/>
        <v>1</v>
      </c>
      <c r="BT238" s="33"/>
      <c r="BU238" s="33">
        <f t="shared" si="26"/>
        <v>39</v>
      </c>
      <c r="BV238" s="36">
        <f t="shared" si="25"/>
        <v>0</v>
      </c>
      <c r="BW238" s="36">
        <f t="shared" si="31"/>
        <v>0.28</v>
      </c>
      <c r="BX238" s="33"/>
    </row>
    <row r="239" spans="66:76" ht="15.75">
      <c r="BN239" s="7">
        <f t="shared" si="27"/>
        <v>29</v>
      </c>
      <c r="BO239" s="5">
        <f t="shared" si="22"/>
        <v>-0.07999999999999996</v>
      </c>
      <c r="BP239" s="13">
        <f t="shared" si="23"/>
        <v>-0.028999999999999998</v>
      </c>
      <c r="BQ239" s="13">
        <f t="shared" si="30"/>
        <v>-0.023333333333333345</v>
      </c>
      <c r="BR239" s="5">
        <f t="shared" si="28"/>
        <v>0</v>
      </c>
      <c r="BS239" s="5">
        <f t="shared" si="24"/>
        <v>-0.07999999999999996</v>
      </c>
      <c r="BT239" s="33"/>
      <c r="BU239" s="33">
        <f t="shared" si="26"/>
        <v>0</v>
      </c>
      <c r="BV239" s="36">
        <f t="shared" si="25"/>
        <v>3.2142857142857144</v>
      </c>
      <c r="BW239" s="36">
        <f t="shared" si="31"/>
        <v>-0.15</v>
      </c>
      <c r="BX239" s="33"/>
    </row>
    <row r="240" spans="66:76" ht="15.75">
      <c r="BN240" s="7">
        <f t="shared" si="27"/>
        <v>29</v>
      </c>
      <c r="BO240" s="5">
        <f t="shared" si="22"/>
        <v>-0.07999999999999996</v>
      </c>
      <c r="BP240" s="13">
        <f t="shared" si="23"/>
        <v>-0.028999999999999998</v>
      </c>
      <c r="BQ240" s="13">
        <f t="shared" si="30"/>
        <v>-0.023333333333333345</v>
      </c>
      <c r="BR240" s="5">
        <f t="shared" si="28"/>
        <v>3</v>
      </c>
      <c r="BS240" s="5">
        <f t="shared" si="24"/>
        <v>-0.15</v>
      </c>
      <c r="BT240" s="33"/>
      <c r="BU240" s="33">
        <f t="shared" si="26"/>
        <v>0</v>
      </c>
      <c r="BV240" s="36">
        <f t="shared" si="25"/>
        <v>-20</v>
      </c>
      <c r="BW240" s="36">
        <f t="shared" si="31"/>
        <v>1</v>
      </c>
      <c r="BX240" s="33"/>
    </row>
    <row r="241" spans="66:76" ht="15.75">
      <c r="BN241" s="7">
        <f t="shared" si="27"/>
        <v>29</v>
      </c>
      <c r="BO241" s="5">
        <f t="shared" si="22"/>
        <v>-0.07999999999999996</v>
      </c>
      <c r="BP241" s="13">
        <f t="shared" si="23"/>
        <v>-0.028999999999999998</v>
      </c>
      <c r="BQ241" s="13">
        <f t="shared" si="30"/>
        <v>-0.023333333333333345</v>
      </c>
      <c r="BR241" s="5">
        <f t="shared" si="28"/>
        <v>0</v>
      </c>
      <c r="BS241" s="5">
        <f t="shared" si="24"/>
        <v>-0.07999999999999996</v>
      </c>
      <c r="BT241" s="33"/>
      <c r="BU241" s="33">
        <f t="shared" si="26"/>
        <v>40</v>
      </c>
      <c r="BV241" s="36">
        <f t="shared" si="25"/>
        <v>0</v>
      </c>
      <c r="BW241" s="36">
        <f t="shared" si="31"/>
        <v>0.30000000000000004</v>
      </c>
      <c r="BX241" s="33"/>
    </row>
    <row r="242" spans="66:76" ht="15.75">
      <c r="BN242" s="7">
        <f t="shared" si="27"/>
        <v>30</v>
      </c>
      <c r="BO242" s="5">
        <f t="shared" si="22"/>
        <v>-0.09999999999999998</v>
      </c>
      <c r="BP242" s="13">
        <f t="shared" si="23"/>
        <v>-0.03</v>
      </c>
      <c r="BQ242" s="13">
        <f t="shared" si="30"/>
        <v>-0.016666666666666673</v>
      </c>
      <c r="BR242" s="5">
        <f t="shared" si="28"/>
        <v>-20</v>
      </c>
      <c r="BS242" s="5">
        <f t="shared" si="24"/>
        <v>1</v>
      </c>
      <c r="BT242" s="33"/>
      <c r="BU242" s="33">
        <f t="shared" si="26"/>
        <v>0</v>
      </c>
      <c r="BV242" s="36">
        <f t="shared" si="25"/>
        <v>3.2142857142857144</v>
      </c>
      <c r="BW242" s="36">
        <f t="shared" si="31"/>
        <v>-0.15</v>
      </c>
      <c r="BX242" s="33"/>
    </row>
    <row r="243" spans="66:76" ht="15.75">
      <c r="BN243" s="7">
        <f t="shared" si="27"/>
        <v>30</v>
      </c>
      <c r="BO243" s="5">
        <f t="shared" si="22"/>
        <v>-0.09999999999999998</v>
      </c>
      <c r="BP243" s="13">
        <f t="shared" si="23"/>
        <v>-0.03</v>
      </c>
      <c r="BQ243" s="13">
        <f t="shared" si="30"/>
        <v>-0.016666666666666673</v>
      </c>
      <c r="BR243" s="5">
        <f t="shared" si="28"/>
        <v>0</v>
      </c>
      <c r="BS243" s="5">
        <f t="shared" si="24"/>
        <v>-0.09999999999999998</v>
      </c>
      <c r="BT243" s="33"/>
      <c r="BU243" s="33">
        <f t="shared" si="26"/>
        <v>0</v>
      </c>
      <c r="BV243" s="36">
        <f t="shared" si="25"/>
        <v>-20</v>
      </c>
      <c r="BW243" s="36">
        <f t="shared" si="31"/>
        <v>1</v>
      </c>
      <c r="BX243" s="33"/>
    </row>
    <row r="244" spans="66:76" ht="15.75">
      <c r="BN244" s="7">
        <f t="shared" si="27"/>
        <v>30</v>
      </c>
      <c r="BO244" s="5">
        <f t="shared" si="22"/>
        <v>-0.09999999999999998</v>
      </c>
      <c r="BP244" s="13">
        <f t="shared" si="23"/>
        <v>-0.03</v>
      </c>
      <c r="BQ244" s="13">
        <f t="shared" si="30"/>
        <v>-0.016666666666666673</v>
      </c>
      <c r="BR244" s="5">
        <f t="shared" si="28"/>
        <v>3</v>
      </c>
      <c r="BS244" s="5">
        <f t="shared" si="24"/>
        <v>-0.15</v>
      </c>
      <c r="BT244" s="33"/>
      <c r="BU244" s="33">
        <f t="shared" si="26"/>
        <v>41</v>
      </c>
      <c r="BV244" s="36">
        <f t="shared" si="25"/>
        <v>0</v>
      </c>
      <c r="BW244" s="36">
        <f t="shared" si="31"/>
        <v>0.32000000000000006</v>
      </c>
      <c r="BX244" s="33"/>
    </row>
    <row r="245" spans="66:76" ht="15.75">
      <c r="BN245" s="7">
        <f t="shared" si="27"/>
        <v>30</v>
      </c>
      <c r="BO245" s="5">
        <f t="shared" si="22"/>
        <v>-0.09999999999999998</v>
      </c>
      <c r="BP245" s="13">
        <f t="shared" si="23"/>
        <v>-0.03</v>
      </c>
      <c r="BQ245" s="13">
        <f t="shared" si="30"/>
        <v>-0.016666666666666673</v>
      </c>
      <c r="BR245" s="5">
        <f t="shared" si="28"/>
        <v>0</v>
      </c>
      <c r="BS245" s="5">
        <f t="shared" si="24"/>
        <v>-0.09999999999999998</v>
      </c>
      <c r="BT245" s="33"/>
      <c r="BU245" s="33">
        <f t="shared" si="26"/>
        <v>0</v>
      </c>
      <c r="BV245" s="36">
        <f t="shared" si="25"/>
        <v>3.2142857142857144</v>
      </c>
      <c r="BW245" s="36">
        <f t="shared" si="31"/>
        <v>-0.15</v>
      </c>
      <c r="BX245" s="33"/>
    </row>
    <row r="246" spans="66:76" ht="15.75">
      <c r="BN246" s="7">
        <f t="shared" si="27"/>
        <v>31</v>
      </c>
      <c r="BO246" s="5">
        <f t="shared" si="22"/>
        <v>-0.12</v>
      </c>
      <c r="BP246" s="13">
        <f t="shared" si="23"/>
        <v>-0.031</v>
      </c>
      <c r="BQ246" s="13">
        <f t="shared" si="30"/>
        <v>-0.01</v>
      </c>
      <c r="BR246" s="5">
        <f t="shared" si="28"/>
        <v>-20</v>
      </c>
      <c r="BS246" s="5">
        <f t="shared" si="24"/>
        <v>1</v>
      </c>
      <c r="BT246" s="33"/>
      <c r="BU246" s="33">
        <f t="shared" si="26"/>
        <v>0</v>
      </c>
      <c r="BV246" s="36">
        <f t="shared" si="25"/>
        <v>-20</v>
      </c>
      <c r="BW246" s="36">
        <f t="shared" si="31"/>
        <v>1</v>
      </c>
      <c r="BX246" s="33"/>
    </row>
    <row r="247" spans="66:76" ht="15.75">
      <c r="BN247" s="7">
        <f t="shared" si="27"/>
        <v>31</v>
      </c>
      <c r="BO247" s="5">
        <f t="shared" si="22"/>
        <v>-0.12</v>
      </c>
      <c r="BP247" s="13">
        <f t="shared" si="23"/>
        <v>-0.031</v>
      </c>
      <c r="BQ247" s="13">
        <f t="shared" si="30"/>
        <v>-0.01</v>
      </c>
      <c r="BR247" s="5">
        <f t="shared" si="28"/>
        <v>0</v>
      </c>
      <c r="BS247" s="5">
        <f t="shared" si="24"/>
        <v>-0.12</v>
      </c>
      <c r="BT247" s="33"/>
      <c r="BU247" s="33">
        <f t="shared" si="26"/>
        <v>42</v>
      </c>
      <c r="BV247" s="36">
        <f t="shared" si="25"/>
        <v>0</v>
      </c>
      <c r="BW247" s="36">
        <f t="shared" si="31"/>
        <v>0.33999999999999997</v>
      </c>
      <c r="BX247" s="33"/>
    </row>
    <row r="248" spans="66:76" ht="15.75">
      <c r="BN248" s="7">
        <f t="shared" si="27"/>
        <v>31</v>
      </c>
      <c r="BO248" s="5">
        <f t="shared" si="22"/>
        <v>-0.12</v>
      </c>
      <c r="BP248" s="13">
        <f t="shared" si="23"/>
        <v>-0.031</v>
      </c>
      <c r="BQ248" s="13">
        <f t="shared" si="30"/>
        <v>-0.01</v>
      </c>
      <c r="BR248" s="5">
        <f t="shared" si="28"/>
        <v>3</v>
      </c>
      <c r="BS248" s="5">
        <f t="shared" si="24"/>
        <v>-0.15</v>
      </c>
      <c r="BT248" s="33"/>
      <c r="BU248" s="33">
        <f t="shared" si="26"/>
        <v>0</v>
      </c>
      <c r="BV248" s="36">
        <f t="shared" si="25"/>
        <v>3.2142857142857144</v>
      </c>
      <c r="BW248" s="36">
        <f t="shared" si="31"/>
        <v>-0.15</v>
      </c>
      <c r="BX248" s="33"/>
    </row>
    <row r="249" spans="66:76" ht="15.75">
      <c r="BN249" s="7">
        <f t="shared" si="27"/>
        <v>31</v>
      </c>
      <c r="BO249" s="5">
        <f t="shared" si="22"/>
        <v>-0.12</v>
      </c>
      <c r="BP249" s="13">
        <f t="shared" si="23"/>
        <v>-0.031</v>
      </c>
      <c r="BQ249" s="13">
        <f t="shared" si="30"/>
        <v>-0.01</v>
      </c>
      <c r="BR249" s="5">
        <f t="shared" si="28"/>
        <v>0</v>
      </c>
      <c r="BS249" s="5">
        <f t="shared" si="24"/>
        <v>-0.12</v>
      </c>
      <c r="BT249" s="33"/>
      <c r="BU249" s="33">
        <f t="shared" si="26"/>
        <v>0</v>
      </c>
      <c r="BV249" s="36">
        <f t="shared" si="25"/>
        <v>-20</v>
      </c>
      <c r="BW249" s="36">
        <f t="shared" si="31"/>
        <v>1</v>
      </c>
      <c r="BX249" s="33"/>
    </row>
    <row r="250" spans="66:76" ht="15.75">
      <c r="BN250" s="7">
        <f t="shared" si="27"/>
        <v>32</v>
      </c>
      <c r="BO250" s="5">
        <f aca="true" t="shared" si="32" ref="BO250:BO313">$C$2/2-$BP$118*BN250</f>
        <v>-0.14</v>
      </c>
      <c r="BP250" s="13">
        <f t="shared" si="23"/>
        <v>-0.032</v>
      </c>
      <c r="BQ250" s="13">
        <f t="shared" si="30"/>
        <v>-0.003333333333333327</v>
      </c>
      <c r="BR250" s="5">
        <f t="shared" si="28"/>
        <v>-20</v>
      </c>
      <c r="BS250" s="5">
        <f t="shared" si="24"/>
        <v>1</v>
      </c>
      <c r="BT250" s="33"/>
      <c r="BU250" s="33">
        <f t="shared" si="26"/>
        <v>43</v>
      </c>
      <c r="BV250" s="36">
        <f t="shared" si="25"/>
        <v>0</v>
      </c>
      <c r="BW250" s="36">
        <f t="shared" si="31"/>
        <v>0.36</v>
      </c>
      <c r="BX250" s="33"/>
    </row>
    <row r="251" spans="66:76" ht="15.75">
      <c r="BN251" s="7">
        <f t="shared" si="27"/>
        <v>32</v>
      </c>
      <c r="BO251" s="5">
        <f t="shared" si="32"/>
        <v>-0.14</v>
      </c>
      <c r="BP251" s="13">
        <f aca="true" t="shared" si="33" ref="BP251:BP314">(BO251-$C$2/2)/$C$4</f>
        <v>-0.032</v>
      </c>
      <c r="BQ251" s="13">
        <f t="shared" si="30"/>
        <v>-0.003333333333333327</v>
      </c>
      <c r="BR251" s="5">
        <f t="shared" si="28"/>
        <v>0</v>
      </c>
      <c r="BS251" s="5">
        <f t="shared" si="24"/>
        <v>-0.14</v>
      </c>
      <c r="BT251" s="33"/>
      <c r="BU251" s="33">
        <f t="shared" si="26"/>
        <v>0</v>
      </c>
      <c r="BV251" s="36">
        <f t="shared" si="25"/>
        <v>3.2142857142857144</v>
      </c>
      <c r="BW251" s="36">
        <f t="shared" si="31"/>
        <v>-0.15</v>
      </c>
      <c r="BX251" s="33"/>
    </row>
    <row r="252" spans="66:76" ht="15.75">
      <c r="BN252" s="7">
        <f t="shared" si="27"/>
        <v>32</v>
      </c>
      <c r="BO252" s="5">
        <f t="shared" si="32"/>
        <v>-0.14</v>
      </c>
      <c r="BP252" s="13">
        <f t="shared" si="33"/>
        <v>-0.032</v>
      </c>
      <c r="BQ252" s="13">
        <f t="shared" si="30"/>
        <v>-0.003333333333333327</v>
      </c>
      <c r="BR252" s="5">
        <f t="shared" si="28"/>
        <v>3</v>
      </c>
      <c r="BS252" s="5">
        <f aca="true" t="shared" si="34" ref="BS252:BS315">IF($BV$117=0,0,IF(BR252&lt;0,$C$6,IF(BR252=0,BO252,BQ252*BR252+BO252)))</f>
        <v>-0.15</v>
      </c>
      <c r="BT252" s="33"/>
      <c r="BU252" s="33">
        <f t="shared" si="26"/>
        <v>0</v>
      </c>
      <c r="BV252" s="36">
        <f aca="true" t="shared" si="35" ref="BV252:BV271">BV249</f>
        <v>-20</v>
      </c>
      <c r="BW252" s="36">
        <f t="shared" si="31"/>
        <v>1</v>
      </c>
      <c r="BX252" s="33"/>
    </row>
    <row r="253" spans="66:76" ht="15.75">
      <c r="BN253" s="7">
        <f t="shared" si="27"/>
        <v>32</v>
      </c>
      <c r="BO253" s="5">
        <f t="shared" si="32"/>
        <v>-0.14</v>
      </c>
      <c r="BP253" s="13">
        <f t="shared" si="33"/>
        <v>-0.032</v>
      </c>
      <c r="BQ253" s="13">
        <f t="shared" si="30"/>
        <v>-0.003333333333333327</v>
      </c>
      <c r="BR253" s="5">
        <f t="shared" si="28"/>
        <v>0</v>
      </c>
      <c r="BS253" s="5">
        <f t="shared" si="34"/>
        <v>-0.14</v>
      </c>
      <c r="BT253" s="33"/>
      <c r="BU253" s="33">
        <f aca="true" t="shared" si="36" ref="BU253:BU271">IF(BV253=0,BU250+1,0)</f>
        <v>44</v>
      </c>
      <c r="BV253" s="36">
        <f t="shared" si="35"/>
        <v>0</v>
      </c>
      <c r="BW253" s="36">
        <f t="shared" si="31"/>
        <v>0.38</v>
      </c>
      <c r="BX253" s="33"/>
    </row>
    <row r="254" spans="66:76" ht="15.75">
      <c r="BN254" s="7">
        <f t="shared" si="27"/>
        <v>33</v>
      </c>
      <c r="BO254" s="5">
        <f t="shared" si="32"/>
        <v>-0.16000000000000003</v>
      </c>
      <c r="BP254" s="13">
        <f t="shared" si="33"/>
        <v>-0.033</v>
      </c>
      <c r="BQ254" s="13">
        <f t="shared" si="30"/>
        <v>0.0033333333333333457</v>
      </c>
      <c r="BR254" s="5">
        <f t="shared" si="28"/>
        <v>-20</v>
      </c>
      <c r="BS254" s="5">
        <f t="shared" si="34"/>
        <v>1</v>
      </c>
      <c r="BT254" s="33"/>
      <c r="BU254" s="33">
        <f t="shared" si="36"/>
        <v>0</v>
      </c>
      <c r="BV254" s="36">
        <f t="shared" si="35"/>
        <v>3.2142857142857144</v>
      </c>
      <c r="BW254" s="36">
        <f t="shared" si="31"/>
        <v>-0.15</v>
      </c>
      <c r="BX254" s="33"/>
    </row>
    <row r="255" spans="66:76" ht="15.75">
      <c r="BN255" s="7">
        <f aca="true" t="shared" si="37" ref="BN255:BN318">BN251+1</f>
        <v>33</v>
      </c>
      <c r="BO255" s="5">
        <f t="shared" si="32"/>
        <v>-0.16000000000000003</v>
      </c>
      <c r="BP255" s="13">
        <f t="shared" si="33"/>
        <v>-0.033</v>
      </c>
      <c r="BQ255" s="13">
        <f t="shared" si="30"/>
        <v>0.0033333333333333457</v>
      </c>
      <c r="BR255" s="5">
        <f aca="true" t="shared" si="38" ref="BR255:BR318">BR251</f>
        <v>0</v>
      </c>
      <c r="BS255" s="5">
        <f t="shared" si="34"/>
        <v>-0.16000000000000003</v>
      </c>
      <c r="BT255" s="33"/>
      <c r="BU255" s="33">
        <f t="shared" si="36"/>
        <v>0</v>
      </c>
      <c r="BV255" s="36">
        <f t="shared" si="35"/>
        <v>-20</v>
      </c>
      <c r="BW255" s="36">
        <f t="shared" si="31"/>
        <v>1</v>
      </c>
      <c r="BX255" s="33"/>
    </row>
    <row r="256" spans="66:76" ht="15.75">
      <c r="BN256" s="7">
        <f t="shared" si="37"/>
        <v>33</v>
      </c>
      <c r="BO256" s="5">
        <f t="shared" si="32"/>
        <v>-0.16000000000000003</v>
      </c>
      <c r="BP256" s="13">
        <f t="shared" si="33"/>
        <v>-0.033</v>
      </c>
      <c r="BQ256" s="13">
        <f t="shared" si="30"/>
        <v>0.0033333333333333457</v>
      </c>
      <c r="BR256" s="5">
        <f t="shared" si="38"/>
        <v>3</v>
      </c>
      <c r="BS256" s="5">
        <f t="shared" si="34"/>
        <v>-0.15</v>
      </c>
      <c r="BT256" s="33"/>
      <c r="BU256" s="33">
        <f t="shared" si="36"/>
        <v>45</v>
      </c>
      <c r="BV256" s="36">
        <f t="shared" si="35"/>
        <v>0</v>
      </c>
      <c r="BW256" s="36">
        <f t="shared" si="31"/>
        <v>0.4</v>
      </c>
      <c r="BX256" s="33"/>
    </row>
    <row r="257" spans="66:76" ht="15.75">
      <c r="BN257" s="7">
        <f t="shared" si="37"/>
        <v>33</v>
      </c>
      <c r="BO257" s="5">
        <f t="shared" si="32"/>
        <v>-0.16000000000000003</v>
      </c>
      <c r="BP257" s="13">
        <f t="shared" si="33"/>
        <v>-0.033</v>
      </c>
      <c r="BQ257" s="13">
        <f t="shared" si="30"/>
        <v>0.0033333333333333457</v>
      </c>
      <c r="BR257" s="5">
        <f t="shared" si="38"/>
        <v>0</v>
      </c>
      <c r="BS257" s="5">
        <f t="shared" si="34"/>
        <v>-0.16000000000000003</v>
      </c>
      <c r="BT257" s="33"/>
      <c r="BU257" s="33">
        <f t="shared" si="36"/>
        <v>0</v>
      </c>
      <c r="BV257" s="36">
        <f t="shared" si="35"/>
        <v>3.2142857142857144</v>
      </c>
      <c r="BW257" s="36">
        <f>IF($BV$117=0,0,IF(BV257&lt;0,$C$6,IF(BV257&gt;0,-$BN$7,-$C$2/2+$BP$118*BU257)))</f>
        <v>-0.15</v>
      </c>
      <c r="BX257" s="33"/>
    </row>
    <row r="258" spans="66:76" ht="15.75">
      <c r="BN258" s="7">
        <f t="shared" si="37"/>
        <v>34</v>
      </c>
      <c r="BO258" s="5">
        <f t="shared" si="32"/>
        <v>-0.18000000000000005</v>
      </c>
      <c r="BP258" s="13">
        <f t="shared" si="33"/>
        <v>-0.034</v>
      </c>
      <c r="BQ258" s="13">
        <f t="shared" si="30"/>
        <v>0.010000000000000018</v>
      </c>
      <c r="BR258" s="5">
        <f t="shared" si="38"/>
        <v>-20</v>
      </c>
      <c r="BS258" s="5">
        <f t="shared" si="34"/>
        <v>1</v>
      </c>
      <c r="BT258" s="33"/>
      <c r="BU258" s="33">
        <f t="shared" si="36"/>
        <v>0</v>
      </c>
      <c r="BV258" s="36">
        <f t="shared" si="35"/>
        <v>-20</v>
      </c>
      <c r="BW258" s="36">
        <f>IF($BV$117=0,0,IF(BV258&lt;0,$C$6,IF(BV258&gt;0,-$BN$7,-$C$2/2+$BP$118*BU258)))</f>
        <v>1</v>
      </c>
      <c r="BX258" s="33"/>
    </row>
    <row r="259" spans="66:76" ht="15.75">
      <c r="BN259" s="7">
        <f t="shared" si="37"/>
        <v>34</v>
      </c>
      <c r="BO259" s="5">
        <f t="shared" si="32"/>
        <v>-0.18000000000000005</v>
      </c>
      <c r="BP259" s="13">
        <f t="shared" si="33"/>
        <v>-0.034</v>
      </c>
      <c r="BQ259" s="13">
        <f t="shared" si="30"/>
        <v>0.010000000000000018</v>
      </c>
      <c r="BR259" s="5">
        <f t="shared" si="38"/>
        <v>0</v>
      </c>
      <c r="BS259" s="5">
        <f t="shared" si="34"/>
        <v>-0.18000000000000005</v>
      </c>
      <c r="BT259" s="33"/>
      <c r="BU259" s="33">
        <f t="shared" si="36"/>
        <v>46</v>
      </c>
      <c r="BV259" s="36">
        <f t="shared" si="35"/>
        <v>0</v>
      </c>
      <c r="BW259" s="36">
        <f>IF($BV$117=0,0,IF(BV259&lt;0,$C$6,IF(BV259&gt;0,-$BN$7,-$C$2/2+$BP$118*BU259)))</f>
        <v>0.42000000000000004</v>
      </c>
      <c r="BX259" s="33"/>
    </row>
    <row r="260" spans="66:76" ht="15.75">
      <c r="BN260" s="7">
        <f t="shared" si="37"/>
        <v>34</v>
      </c>
      <c r="BO260" s="5">
        <f t="shared" si="32"/>
        <v>-0.18000000000000005</v>
      </c>
      <c r="BP260" s="13">
        <f t="shared" si="33"/>
        <v>-0.034</v>
      </c>
      <c r="BQ260" s="13">
        <f t="shared" si="30"/>
        <v>0.010000000000000018</v>
      </c>
      <c r="BR260" s="5">
        <f t="shared" si="38"/>
        <v>3</v>
      </c>
      <c r="BS260" s="5">
        <f t="shared" si="34"/>
        <v>-0.15</v>
      </c>
      <c r="BT260" s="33"/>
      <c r="BU260" s="33">
        <f t="shared" si="36"/>
        <v>0</v>
      </c>
      <c r="BV260" s="36">
        <f t="shared" si="35"/>
        <v>3.2142857142857144</v>
      </c>
      <c r="BW260" s="36">
        <f>IF($BV$117=0,0,IF(BV260&lt;0,$C$6,IF(BV260&gt;0,-$BN$7,-$C$2/2+$BP$118*BU260)))</f>
        <v>-0.15</v>
      </c>
      <c r="BX260" s="33"/>
    </row>
    <row r="261" spans="66:76" ht="15.75">
      <c r="BN261" s="7">
        <f t="shared" si="37"/>
        <v>34</v>
      </c>
      <c r="BO261" s="5">
        <f t="shared" si="32"/>
        <v>-0.18000000000000005</v>
      </c>
      <c r="BP261" s="13">
        <f t="shared" si="33"/>
        <v>-0.034</v>
      </c>
      <c r="BQ261" s="13">
        <f t="shared" si="30"/>
        <v>0.010000000000000018</v>
      </c>
      <c r="BR261" s="5">
        <f t="shared" si="38"/>
        <v>0</v>
      </c>
      <c r="BS261" s="5">
        <f t="shared" si="34"/>
        <v>-0.18000000000000005</v>
      </c>
      <c r="BT261" s="33"/>
      <c r="BU261" s="33">
        <f t="shared" si="36"/>
        <v>0</v>
      </c>
      <c r="BV261" s="36">
        <f t="shared" si="35"/>
        <v>-20</v>
      </c>
      <c r="BW261" s="36">
        <f>IF($BV$117=0,0,IF(BV261&lt;0,$C$6,IF(BV261&gt;0,-$BN$7,-$C$2/2+$BP$118*BU261)))</f>
        <v>1</v>
      </c>
      <c r="BX261" s="33"/>
    </row>
    <row r="262" spans="66:76" ht="15.75">
      <c r="BN262" s="7">
        <f t="shared" si="37"/>
        <v>35</v>
      </c>
      <c r="BO262" s="5">
        <f t="shared" si="32"/>
        <v>-0.20000000000000007</v>
      </c>
      <c r="BP262" s="13">
        <f t="shared" si="33"/>
        <v>-0.035</v>
      </c>
      <c r="BQ262" s="13">
        <f t="shared" si="30"/>
        <v>0.01666666666666669</v>
      </c>
      <c r="BR262" s="5">
        <f t="shared" si="38"/>
        <v>-20</v>
      </c>
      <c r="BS262" s="5">
        <f t="shared" si="34"/>
        <v>1</v>
      </c>
      <c r="BT262" s="33"/>
      <c r="BU262" s="33">
        <f t="shared" si="36"/>
        <v>47</v>
      </c>
      <c r="BV262" s="36">
        <f t="shared" si="35"/>
        <v>0</v>
      </c>
      <c r="BW262" s="36">
        <f>IF($BV$117=0,0,IF(BV262&lt;0,$C$6,IF(BV262&gt;0,-$BN$7,-$C$2/2+$BP$118*BU262)))</f>
        <v>0.44000000000000006</v>
      </c>
      <c r="BX262" s="33"/>
    </row>
    <row r="263" spans="66:76" ht="15.75">
      <c r="BN263" s="7">
        <f t="shared" si="37"/>
        <v>35</v>
      </c>
      <c r="BO263" s="5">
        <f t="shared" si="32"/>
        <v>-0.20000000000000007</v>
      </c>
      <c r="BP263" s="13">
        <f t="shared" si="33"/>
        <v>-0.035</v>
      </c>
      <c r="BQ263" s="13">
        <f t="shared" si="30"/>
        <v>0.01666666666666669</v>
      </c>
      <c r="BR263" s="5">
        <f t="shared" si="38"/>
        <v>0</v>
      </c>
      <c r="BS263" s="5">
        <f t="shared" si="34"/>
        <v>-0.20000000000000007</v>
      </c>
      <c r="BT263" s="33"/>
      <c r="BU263" s="33">
        <f t="shared" si="36"/>
        <v>0</v>
      </c>
      <c r="BV263" s="36">
        <f t="shared" si="35"/>
        <v>3.2142857142857144</v>
      </c>
      <c r="BW263" s="36">
        <f>IF($BV$117=0,0,IF(BV263&lt;0,$C$6,IF(BV263&gt;0,-$BN$7,-$C$2/2+$BP$118*BU263)))</f>
        <v>-0.15</v>
      </c>
      <c r="BX263" s="33"/>
    </row>
    <row r="264" spans="66:76" ht="15.75">
      <c r="BN264" s="7">
        <f t="shared" si="37"/>
        <v>35</v>
      </c>
      <c r="BO264" s="5">
        <f t="shared" si="32"/>
        <v>-0.20000000000000007</v>
      </c>
      <c r="BP264" s="13">
        <f t="shared" si="33"/>
        <v>-0.035</v>
      </c>
      <c r="BQ264" s="13">
        <f t="shared" si="30"/>
        <v>0.01666666666666669</v>
      </c>
      <c r="BR264" s="5">
        <f t="shared" si="38"/>
        <v>3</v>
      </c>
      <c r="BS264" s="5">
        <f t="shared" si="34"/>
        <v>-0.15</v>
      </c>
      <c r="BT264" s="33"/>
      <c r="BU264" s="33">
        <f t="shared" si="36"/>
        <v>0</v>
      </c>
      <c r="BV264" s="36">
        <f t="shared" si="35"/>
        <v>-20</v>
      </c>
      <c r="BW264" s="36">
        <f>IF($BV$117=0,0,IF(BV264&lt;0,$C$6,IF(BV264&gt;0,-$BN$7,-$C$2/2+$BP$118*BU264)))</f>
        <v>1</v>
      </c>
      <c r="BX264" s="33"/>
    </row>
    <row r="265" spans="66:76" ht="15.75">
      <c r="BN265" s="7">
        <f t="shared" si="37"/>
        <v>35</v>
      </c>
      <c r="BO265" s="5">
        <f t="shared" si="32"/>
        <v>-0.20000000000000007</v>
      </c>
      <c r="BP265" s="13">
        <f t="shared" si="33"/>
        <v>-0.035</v>
      </c>
      <c r="BQ265" s="13">
        <f aca="true" t="shared" si="39" ref="BQ265:BQ325">IF($C$3=$C$4,$BW$43,(-$BN$7-BO265)/$BN$4)</f>
        <v>0.01666666666666669</v>
      </c>
      <c r="BR265" s="5">
        <f t="shared" si="38"/>
        <v>0</v>
      </c>
      <c r="BS265" s="5">
        <f t="shared" si="34"/>
        <v>-0.20000000000000007</v>
      </c>
      <c r="BT265" s="33"/>
      <c r="BU265" s="33">
        <f t="shared" si="36"/>
        <v>48</v>
      </c>
      <c r="BV265" s="36">
        <f t="shared" si="35"/>
        <v>0</v>
      </c>
      <c r="BW265" s="36">
        <f>IF($BV$117=0,0,IF(BV265&lt;0,$C$6,IF(BV265&gt;0,-$BN$7,-$C$2/2+$BP$118*BU265)))</f>
        <v>0.45999999999999996</v>
      </c>
      <c r="BX265" s="33"/>
    </row>
    <row r="266" spans="66:76" ht="15.75">
      <c r="BN266" s="7">
        <f t="shared" si="37"/>
        <v>36</v>
      </c>
      <c r="BO266" s="5">
        <f t="shared" si="32"/>
        <v>-0.21999999999999997</v>
      </c>
      <c r="BP266" s="13">
        <f t="shared" si="33"/>
        <v>-0.036</v>
      </c>
      <c r="BQ266" s="13">
        <f t="shared" si="39"/>
        <v>0.023333333333333327</v>
      </c>
      <c r="BR266" s="5">
        <f t="shared" si="38"/>
        <v>-20</v>
      </c>
      <c r="BS266" s="5">
        <f t="shared" si="34"/>
        <v>1</v>
      </c>
      <c r="BT266" s="33"/>
      <c r="BU266" s="33">
        <f t="shared" si="36"/>
        <v>0</v>
      </c>
      <c r="BV266" s="36">
        <f t="shared" si="35"/>
        <v>3.2142857142857144</v>
      </c>
      <c r="BW266" s="36">
        <f>IF($BV$117=0,0,IF(BV266&lt;0,$C$6,IF(BV266&gt;0,-$BN$7,-$C$2/2+$BP$118*BU266)))</f>
        <v>-0.15</v>
      </c>
      <c r="BX266" s="33"/>
    </row>
    <row r="267" spans="66:76" ht="15.75">
      <c r="BN267" s="7">
        <f t="shared" si="37"/>
        <v>36</v>
      </c>
      <c r="BO267" s="5">
        <f t="shared" si="32"/>
        <v>-0.21999999999999997</v>
      </c>
      <c r="BP267" s="13">
        <f t="shared" si="33"/>
        <v>-0.036</v>
      </c>
      <c r="BQ267" s="13">
        <f t="shared" si="39"/>
        <v>0.023333333333333327</v>
      </c>
      <c r="BR267" s="5">
        <f t="shared" si="38"/>
        <v>0</v>
      </c>
      <c r="BS267" s="5">
        <f t="shared" si="34"/>
        <v>-0.21999999999999997</v>
      </c>
      <c r="BT267" s="33"/>
      <c r="BU267" s="33">
        <f t="shared" si="36"/>
        <v>0</v>
      </c>
      <c r="BV267" s="36">
        <f t="shared" si="35"/>
        <v>-20</v>
      </c>
      <c r="BW267" s="36">
        <f>IF($BV$117=0,0,IF(BV267&lt;0,$C$6,IF(BV267&gt;0,-$BN$7,-$C$2/2+$BP$118*BU267)))</f>
        <v>1</v>
      </c>
      <c r="BX267" s="33"/>
    </row>
    <row r="268" spans="66:76" ht="15.75">
      <c r="BN268" s="7">
        <f t="shared" si="37"/>
        <v>36</v>
      </c>
      <c r="BO268" s="5">
        <f t="shared" si="32"/>
        <v>-0.21999999999999997</v>
      </c>
      <c r="BP268" s="13">
        <f t="shared" si="33"/>
        <v>-0.036</v>
      </c>
      <c r="BQ268" s="13">
        <f t="shared" si="39"/>
        <v>0.023333333333333327</v>
      </c>
      <c r="BR268" s="5">
        <f t="shared" si="38"/>
        <v>3</v>
      </c>
      <c r="BS268" s="5">
        <f t="shared" si="34"/>
        <v>-0.15</v>
      </c>
      <c r="BT268" s="33"/>
      <c r="BU268" s="33">
        <f t="shared" si="36"/>
        <v>49</v>
      </c>
      <c r="BV268" s="36">
        <f t="shared" si="35"/>
        <v>0</v>
      </c>
      <c r="BW268" s="36">
        <f>IF($BV$117=0,0,IF(BV268&lt;0,$C$6,IF(BV268&gt;0,-$BN$7,-$C$2/2+$BP$118*BU268)))</f>
        <v>0.48</v>
      </c>
      <c r="BX268" s="33"/>
    </row>
    <row r="269" spans="66:76" ht="15.75">
      <c r="BN269" s="7">
        <f t="shared" si="37"/>
        <v>36</v>
      </c>
      <c r="BO269" s="5">
        <f t="shared" si="32"/>
        <v>-0.21999999999999997</v>
      </c>
      <c r="BP269" s="13">
        <f t="shared" si="33"/>
        <v>-0.036</v>
      </c>
      <c r="BQ269" s="13">
        <f t="shared" si="39"/>
        <v>0.023333333333333327</v>
      </c>
      <c r="BR269" s="5">
        <f t="shared" si="38"/>
        <v>0</v>
      </c>
      <c r="BS269" s="5">
        <f t="shared" si="34"/>
        <v>-0.21999999999999997</v>
      </c>
      <c r="BT269" s="33"/>
      <c r="BU269" s="33">
        <f t="shared" si="36"/>
        <v>0</v>
      </c>
      <c r="BV269" s="36">
        <f t="shared" si="35"/>
        <v>3.2142857142857144</v>
      </c>
      <c r="BW269" s="36">
        <f>IF($BV$117=0,0,IF(BV269&lt;0,$C$6,IF(BV269&gt;0,-$BN$7,-$C$2/2+$BP$118*BU269)))</f>
        <v>-0.15</v>
      </c>
      <c r="BX269" s="33"/>
    </row>
    <row r="270" spans="66:76" ht="15.75">
      <c r="BN270" s="7">
        <f t="shared" si="37"/>
        <v>37</v>
      </c>
      <c r="BO270" s="5">
        <f t="shared" si="32"/>
        <v>-0.24</v>
      </c>
      <c r="BP270" s="13">
        <f t="shared" si="33"/>
        <v>-0.037</v>
      </c>
      <c r="BQ270" s="13">
        <f t="shared" si="39"/>
        <v>0.03</v>
      </c>
      <c r="BR270" s="5">
        <f t="shared" si="38"/>
        <v>-20</v>
      </c>
      <c r="BS270" s="5">
        <f t="shared" si="34"/>
        <v>1</v>
      </c>
      <c r="BT270" s="33"/>
      <c r="BU270" s="33">
        <f t="shared" si="36"/>
        <v>0</v>
      </c>
      <c r="BV270" s="36">
        <f t="shared" si="35"/>
        <v>-20</v>
      </c>
      <c r="BW270" s="36">
        <f>IF($BV$117=0,0,IF(BV270&lt;0,$C$6,IF(BV270&gt;0,-$BN$7,-$C$2/2+$BP$118*BU270)))</f>
        <v>1</v>
      </c>
      <c r="BX270" s="33"/>
    </row>
    <row r="271" spans="66:76" ht="15.75">
      <c r="BN271" s="7">
        <f t="shared" si="37"/>
        <v>37</v>
      </c>
      <c r="BO271" s="5">
        <f t="shared" si="32"/>
        <v>-0.24</v>
      </c>
      <c r="BP271" s="13">
        <f t="shared" si="33"/>
        <v>-0.037</v>
      </c>
      <c r="BQ271" s="13">
        <f t="shared" si="39"/>
        <v>0.03</v>
      </c>
      <c r="BR271" s="5">
        <f t="shared" si="38"/>
        <v>0</v>
      </c>
      <c r="BS271" s="5">
        <f t="shared" si="34"/>
        <v>-0.24</v>
      </c>
      <c r="BT271" s="33"/>
      <c r="BU271" s="33">
        <f t="shared" si="36"/>
        <v>50</v>
      </c>
      <c r="BV271" s="36">
        <f t="shared" si="35"/>
        <v>0</v>
      </c>
      <c r="BW271" s="36">
        <f>IF($BV$117=0,0,IF(BV271&lt;0,$C$6,IF(BV271&gt;0,-$BN$7,-$C$2/2+$BP$118*BU271)))</f>
        <v>0.5</v>
      </c>
      <c r="BX271" s="33"/>
    </row>
    <row r="272" spans="66:76" ht="15.75">
      <c r="BN272" s="7">
        <f t="shared" si="37"/>
        <v>37</v>
      </c>
      <c r="BO272" s="5">
        <f t="shared" si="32"/>
        <v>-0.24</v>
      </c>
      <c r="BP272" s="13">
        <f t="shared" si="33"/>
        <v>-0.037</v>
      </c>
      <c r="BQ272" s="13">
        <f t="shared" si="39"/>
        <v>0.03</v>
      </c>
      <c r="BR272" s="5">
        <f t="shared" si="38"/>
        <v>3</v>
      </c>
      <c r="BS272" s="5">
        <f t="shared" si="34"/>
        <v>-0.15</v>
      </c>
      <c r="BT272" s="33"/>
      <c r="BU272" s="33"/>
      <c r="BV272" s="36">
        <f>MAX(BV120:BV271)</f>
        <v>3.2142857142857144</v>
      </c>
      <c r="BW272" s="36">
        <f>MAX(BW120:BW271)</f>
        <v>1</v>
      </c>
      <c r="BX272" s="37" t="s">
        <v>56</v>
      </c>
    </row>
    <row r="273" spans="66:76" ht="15.75">
      <c r="BN273" s="7">
        <f t="shared" si="37"/>
        <v>37</v>
      </c>
      <c r="BO273" s="5">
        <f t="shared" si="32"/>
        <v>-0.24</v>
      </c>
      <c r="BP273" s="13">
        <f t="shared" si="33"/>
        <v>-0.037</v>
      </c>
      <c r="BQ273" s="13">
        <f t="shared" si="39"/>
        <v>0.03</v>
      </c>
      <c r="BR273" s="5">
        <f t="shared" si="38"/>
        <v>0</v>
      </c>
      <c r="BS273" s="5">
        <f t="shared" si="34"/>
        <v>-0.24</v>
      </c>
      <c r="BT273" s="33"/>
      <c r="BU273" s="33"/>
      <c r="BV273" s="36">
        <f>MIN(BV120:BV271)</f>
        <v>-20</v>
      </c>
      <c r="BW273" s="36">
        <f>MIN(BW120:BW271)</f>
        <v>-0.5</v>
      </c>
      <c r="BX273" s="37" t="s">
        <v>57</v>
      </c>
    </row>
    <row r="274" spans="66:76" ht="15.75">
      <c r="BN274" s="7">
        <f t="shared" si="37"/>
        <v>38</v>
      </c>
      <c r="BO274" s="5">
        <f t="shared" si="32"/>
        <v>-0.26</v>
      </c>
      <c r="BP274" s="13">
        <f t="shared" si="33"/>
        <v>-0.038</v>
      </c>
      <c r="BQ274" s="13">
        <f t="shared" si="39"/>
        <v>0.036666666666666674</v>
      </c>
      <c r="BR274" s="5">
        <f t="shared" si="38"/>
        <v>-20</v>
      </c>
      <c r="BS274" s="5">
        <f t="shared" si="34"/>
        <v>1</v>
      </c>
      <c r="BT274" s="33"/>
      <c r="BU274" s="33"/>
      <c r="BV274" s="31">
        <f>MAX(BV272:BV273)</f>
        <v>3.2142857142857144</v>
      </c>
      <c r="BW274" s="31">
        <f>MAX(BW272:BW273)</f>
        <v>1</v>
      </c>
      <c r="BX274" s="33"/>
    </row>
    <row r="275" spans="66:75" ht="15.75">
      <c r="BN275" s="7">
        <f t="shared" si="37"/>
        <v>38</v>
      </c>
      <c r="BO275" s="5">
        <f t="shared" si="32"/>
        <v>-0.26</v>
      </c>
      <c r="BP275" s="13">
        <f t="shared" si="33"/>
        <v>-0.038</v>
      </c>
      <c r="BQ275" s="13">
        <f t="shared" si="39"/>
        <v>0.036666666666666674</v>
      </c>
      <c r="BR275" s="5">
        <f t="shared" si="38"/>
        <v>0</v>
      </c>
      <c r="BS275" s="5">
        <f t="shared" si="34"/>
        <v>-0.26</v>
      </c>
      <c r="BV275" s="7"/>
      <c r="BW275" s="7"/>
    </row>
    <row r="276" spans="66:75" ht="15.75">
      <c r="BN276" s="7">
        <f t="shared" si="37"/>
        <v>38</v>
      </c>
      <c r="BO276" s="5">
        <f t="shared" si="32"/>
        <v>-0.26</v>
      </c>
      <c r="BP276" s="13">
        <f t="shared" si="33"/>
        <v>-0.038</v>
      </c>
      <c r="BQ276" s="13">
        <f t="shared" si="39"/>
        <v>0.036666666666666674</v>
      </c>
      <c r="BR276" s="5">
        <f t="shared" si="38"/>
        <v>3</v>
      </c>
      <c r="BS276" s="5">
        <f t="shared" si="34"/>
        <v>-0.15</v>
      </c>
      <c r="BV276" s="7"/>
      <c r="BW276" s="7"/>
    </row>
    <row r="277" spans="66:75" ht="15.75">
      <c r="BN277" s="7">
        <f t="shared" si="37"/>
        <v>38</v>
      </c>
      <c r="BO277" s="5">
        <f t="shared" si="32"/>
        <v>-0.26</v>
      </c>
      <c r="BP277" s="13">
        <f t="shared" si="33"/>
        <v>-0.038</v>
      </c>
      <c r="BQ277" s="13">
        <f t="shared" si="39"/>
        <v>0.036666666666666674</v>
      </c>
      <c r="BR277" s="5">
        <f t="shared" si="38"/>
        <v>0</v>
      </c>
      <c r="BS277" s="5">
        <f t="shared" si="34"/>
        <v>-0.26</v>
      </c>
      <c r="BV277" s="7"/>
      <c r="BW277" s="7"/>
    </row>
    <row r="278" spans="66:75" ht="15.75">
      <c r="BN278" s="7">
        <f t="shared" si="37"/>
        <v>39</v>
      </c>
      <c r="BO278" s="5">
        <f t="shared" si="32"/>
        <v>-0.28</v>
      </c>
      <c r="BP278" s="13">
        <f t="shared" si="33"/>
        <v>-0.039</v>
      </c>
      <c r="BQ278" s="13">
        <f t="shared" si="39"/>
        <v>0.04333333333333334</v>
      </c>
      <c r="BR278" s="5">
        <f t="shared" si="38"/>
        <v>-20</v>
      </c>
      <c r="BS278" s="5">
        <f t="shared" si="34"/>
        <v>1</v>
      </c>
      <c r="BV278" s="7"/>
      <c r="BW278" s="7"/>
    </row>
    <row r="279" spans="66:75" ht="15.75">
      <c r="BN279" s="7">
        <f t="shared" si="37"/>
        <v>39</v>
      </c>
      <c r="BO279" s="5">
        <f t="shared" si="32"/>
        <v>-0.28</v>
      </c>
      <c r="BP279" s="13">
        <f t="shared" si="33"/>
        <v>-0.039</v>
      </c>
      <c r="BQ279" s="13">
        <f t="shared" si="39"/>
        <v>0.04333333333333334</v>
      </c>
      <c r="BR279" s="5">
        <f t="shared" si="38"/>
        <v>0</v>
      </c>
      <c r="BS279" s="5">
        <f t="shared" si="34"/>
        <v>-0.28</v>
      </c>
      <c r="BV279" s="7"/>
      <c r="BW279" s="7"/>
    </row>
    <row r="280" spans="66:75" ht="15.75">
      <c r="BN280" s="7">
        <f t="shared" si="37"/>
        <v>39</v>
      </c>
      <c r="BO280" s="5">
        <f t="shared" si="32"/>
        <v>-0.28</v>
      </c>
      <c r="BP280" s="13">
        <f t="shared" si="33"/>
        <v>-0.039</v>
      </c>
      <c r="BQ280" s="13">
        <f t="shared" si="39"/>
        <v>0.04333333333333334</v>
      </c>
      <c r="BR280" s="5">
        <f t="shared" si="38"/>
        <v>3</v>
      </c>
      <c r="BS280" s="5">
        <f t="shared" si="34"/>
        <v>-0.15</v>
      </c>
      <c r="BV280" s="7"/>
      <c r="BW280" s="7"/>
    </row>
    <row r="281" spans="66:75" ht="15.75">
      <c r="BN281" s="7">
        <f t="shared" si="37"/>
        <v>39</v>
      </c>
      <c r="BO281" s="5">
        <f t="shared" si="32"/>
        <v>-0.28</v>
      </c>
      <c r="BP281" s="13">
        <f t="shared" si="33"/>
        <v>-0.039</v>
      </c>
      <c r="BQ281" s="13">
        <f t="shared" si="39"/>
        <v>0.04333333333333334</v>
      </c>
      <c r="BR281" s="5">
        <f t="shared" si="38"/>
        <v>0</v>
      </c>
      <c r="BS281" s="5">
        <f t="shared" si="34"/>
        <v>-0.28</v>
      </c>
      <c r="BV281" s="7"/>
      <c r="BW281" s="7"/>
    </row>
    <row r="282" spans="66:75" ht="15.75">
      <c r="BN282" s="7">
        <f t="shared" si="37"/>
        <v>40</v>
      </c>
      <c r="BO282" s="5">
        <f t="shared" si="32"/>
        <v>-0.30000000000000004</v>
      </c>
      <c r="BP282" s="13">
        <f t="shared" si="33"/>
        <v>-0.04</v>
      </c>
      <c r="BQ282" s="13">
        <f t="shared" si="39"/>
        <v>0.05000000000000002</v>
      </c>
      <c r="BR282" s="5">
        <f t="shared" si="38"/>
        <v>-20</v>
      </c>
      <c r="BS282" s="5">
        <f t="shared" si="34"/>
        <v>1</v>
      </c>
      <c r="BV282" s="7"/>
      <c r="BW282" s="7"/>
    </row>
    <row r="283" spans="66:75" ht="15.75">
      <c r="BN283" s="7">
        <f t="shared" si="37"/>
        <v>40</v>
      </c>
      <c r="BO283" s="5">
        <f t="shared" si="32"/>
        <v>-0.30000000000000004</v>
      </c>
      <c r="BP283" s="13">
        <f t="shared" si="33"/>
        <v>-0.04</v>
      </c>
      <c r="BQ283" s="13">
        <f t="shared" si="39"/>
        <v>0.05000000000000002</v>
      </c>
      <c r="BR283" s="5">
        <f t="shared" si="38"/>
        <v>0</v>
      </c>
      <c r="BS283" s="5">
        <f t="shared" si="34"/>
        <v>-0.30000000000000004</v>
      </c>
      <c r="BV283" s="7"/>
      <c r="BW283" s="7"/>
    </row>
    <row r="284" spans="66:75" ht="15.75">
      <c r="BN284" s="7">
        <f t="shared" si="37"/>
        <v>40</v>
      </c>
      <c r="BO284" s="5">
        <f t="shared" si="32"/>
        <v>-0.30000000000000004</v>
      </c>
      <c r="BP284" s="13">
        <f t="shared" si="33"/>
        <v>-0.04</v>
      </c>
      <c r="BQ284" s="13">
        <f t="shared" si="39"/>
        <v>0.05000000000000002</v>
      </c>
      <c r="BR284" s="5">
        <f t="shared" si="38"/>
        <v>3</v>
      </c>
      <c r="BS284" s="5">
        <f t="shared" si="34"/>
        <v>-0.15</v>
      </c>
      <c r="BV284" s="7"/>
      <c r="BW284" s="7"/>
    </row>
    <row r="285" spans="66:75" ht="15.75">
      <c r="BN285" s="7">
        <f t="shared" si="37"/>
        <v>40</v>
      </c>
      <c r="BO285" s="5">
        <f t="shared" si="32"/>
        <v>-0.30000000000000004</v>
      </c>
      <c r="BP285" s="13">
        <f t="shared" si="33"/>
        <v>-0.04</v>
      </c>
      <c r="BQ285" s="13">
        <f t="shared" si="39"/>
        <v>0.05000000000000002</v>
      </c>
      <c r="BR285" s="5">
        <f t="shared" si="38"/>
        <v>0</v>
      </c>
      <c r="BS285" s="5">
        <f t="shared" si="34"/>
        <v>-0.30000000000000004</v>
      </c>
      <c r="BV285" s="7"/>
      <c r="BW285" s="7"/>
    </row>
    <row r="286" spans="66:75" ht="15.75">
      <c r="BN286" s="7">
        <f t="shared" si="37"/>
        <v>41</v>
      </c>
      <c r="BO286" s="5">
        <f t="shared" si="32"/>
        <v>-0.32000000000000006</v>
      </c>
      <c r="BP286" s="13">
        <f t="shared" si="33"/>
        <v>-0.041</v>
      </c>
      <c r="BQ286" s="13">
        <f t="shared" si="39"/>
        <v>0.05666666666666669</v>
      </c>
      <c r="BR286" s="5">
        <f t="shared" si="38"/>
        <v>-20</v>
      </c>
      <c r="BS286" s="5">
        <f t="shared" si="34"/>
        <v>1</v>
      </c>
      <c r="BV286" s="7"/>
      <c r="BW286" s="7"/>
    </row>
    <row r="287" spans="66:75" ht="15.75">
      <c r="BN287" s="7">
        <f t="shared" si="37"/>
        <v>41</v>
      </c>
      <c r="BO287" s="5">
        <f t="shared" si="32"/>
        <v>-0.32000000000000006</v>
      </c>
      <c r="BP287" s="13">
        <f t="shared" si="33"/>
        <v>-0.041</v>
      </c>
      <c r="BQ287" s="13">
        <f t="shared" si="39"/>
        <v>0.05666666666666669</v>
      </c>
      <c r="BR287" s="5">
        <f t="shared" si="38"/>
        <v>0</v>
      </c>
      <c r="BS287" s="5">
        <f t="shared" si="34"/>
        <v>-0.32000000000000006</v>
      </c>
      <c r="BV287" s="7"/>
      <c r="BW287" s="7"/>
    </row>
    <row r="288" spans="66:75" ht="15.75">
      <c r="BN288" s="7">
        <f t="shared" si="37"/>
        <v>41</v>
      </c>
      <c r="BO288" s="5">
        <f t="shared" si="32"/>
        <v>-0.32000000000000006</v>
      </c>
      <c r="BP288" s="13">
        <f t="shared" si="33"/>
        <v>-0.041</v>
      </c>
      <c r="BQ288" s="13">
        <f t="shared" si="39"/>
        <v>0.05666666666666669</v>
      </c>
      <c r="BR288" s="5">
        <f t="shared" si="38"/>
        <v>3</v>
      </c>
      <c r="BS288" s="5">
        <f t="shared" si="34"/>
        <v>-0.15</v>
      </c>
      <c r="BV288" s="7"/>
      <c r="BW288" s="7"/>
    </row>
    <row r="289" spans="66:75" ht="15.75">
      <c r="BN289" s="7">
        <f t="shared" si="37"/>
        <v>41</v>
      </c>
      <c r="BO289" s="5">
        <f t="shared" si="32"/>
        <v>-0.32000000000000006</v>
      </c>
      <c r="BP289" s="13">
        <f t="shared" si="33"/>
        <v>-0.041</v>
      </c>
      <c r="BQ289" s="13">
        <f t="shared" si="39"/>
        <v>0.05666666666666669</v>
      </c>
      <c r="BR289" s="5">
        <f t="shared" si="38"/>
        <v>0</v>
      </c>
      <c r="BS289" s="5">
        <f t="shared" si="34"/>
        <v>-0.32000000000000006</v>
      </c>
      <c r="BV289" s="7"/>
      <c r="BW289" s="7"/>
    </row>
    <row r="290" spans="66:75" ht="15.75">
      <c r="BN290" s="7">
        <f t="shared" si="37"/>
        <v>42</v>
      </c>
      <c r="BO290" s="5">
        <f t="shared" si="32"/>
        <v>-0.33999999999999997</v>
      </c>
      <c r="BP290" s="13">
        <f t="shared" si="33"/>
        <v>-0.041999999999999996</v>
      </c>
      <c r="BQ290" s="13">
        <f t="shared" si="39"/>
        <v>0.06333333333333332</v>
      </c>
      <c r="BR290" s="5">
        <f t="shared" si="38"/>
        <v>-20</v>
      </c>
      <c r="BS290" s="5">
        <f t="shared" si="34"/>
        <v>1</v>
      </c>
      <c r="BV290" s="7"/>
      <c r="BW290" s="7"/>
    </row>
    <row r="291" spans="66:75" ht="15.75">
      <c r="BN291" s="7">
        <f t="shared" si="37"/>
        <v>42</v>
      </c>
      <c r="BO291" s="5">
        <f t="shared" si="32"/>
        <v>-0.33999999999999997</v>
      </c>
      <c r="BP291" s="13">
        <f t="shared" si="33"/>
        <v>-0.041999999999999996</v>
      </c>
      <c r="BQ291" s="13">
        <f t="shared" si="39"/>
        <v>0.06333333333333332</v>
      </c>
      <c r="BR291" s="5">
        <f t="shared" si="38"/>
        <v>0</v>
      </c>
      <c r="BS291" s="5">
        <f t="shared" si="34"/>
        <v>-0.33999999999999997</v>
      </c>
      <c r="BV291" s="7"/>
      <c r="BW291" s="7"/>
    </row>
    <row r="292" spans="66:75" ht="15.75">
      <c r="BN292" s="7">
        <f t="shared" si="37"/>
        <v>42</v>
      </c>
      <c r="BO292" s="5">
        <f t="shared" si="32"/>
        <v>-0.33999999999999997</v>
      </c>
      <c r="BP292" s="13">
        <f t="shared" si="33"/>
        <v>-0.041999999999999996</v>
      </c>
      <c r="BQ292" s="13">
        <f t="shared" si="39"/>
        <v>0.06333333333333332</v>
      </c>
      <c r="BR292" s="5">
        <f t="shared" si="38"/>
        <v>3</v>
      </c>
      <c r="BS292" s="5">
        <f t="shared" si="34"/>
        <v>-0.15</v>
      </c>
      <c r="BV292" s="7"/>
      <c r="BW292" s="7"/>
    </row>
    <row r="293" spans="66:75" ht="15.75">
      <c r="BN293" s="7">
        <f t="shared" si="37"/>
        <v>42</v>
      </c>
      <c r="BO293" s="5">
        <f t="shared" si="32"/>
        <v>-0.33999999999999997</v>
      </c>
      <c r="BP293" s="13">
        <f t="shared" si="33"/>
        <v>-0.041999999999999996</v>
      </c>
      <c r="BQ293" s="13">
        <f t="shared" si="39"/>
        <v>0.06333333333333332</v>
      </c>
      <c r="BR293" s="5">
        <f t="shared" si="38"/>
        <v>0</v>
      </c>
      <c r="BS293" s="5">
        <f t="shared" si="34"/>
        <v>-0.33999999999999997</v>
      </c>
      <c r="BV293" s="7"/>
      <c r="BW293" s="7"/>
    </row>
    <row r="294" spans="66:75" ht="15.75">
      <c r="BN294" s="7">
        <f t="shared" si="37"/>
        <v>43</v>
      </c>
      <c r="BO294" s="5">
        <f t="shared" si="32"/>
        <v>-0.36</v>
      </c>
      <c r="BP294" s="13">
        <f t="shared" si="33"/>
        <v>-0.043</v>
      </c>
      <c r="BQ294" s="13">
        <f t="shared" si="39"/>
        <v>0.06999999999999999</v>
      </c>
      <c r="BR294" s="5">
        <f t="shared" si="38"/>
        <v>-20</v>
      </c>
      <c r="BS294" s="5">
        <f t="shared" si="34"/>
        <v>1</v>
      </c>
      <c r="BV294" s="7"/>
      <c r="BW294" s="7"/>
    </row>
    <row r="295" spans="66:75" ht="15.75">
      <c r="BN295" s="7">
        <f t="shared" si="37"/>
        <v>43</v>
      </c>
      <c r="BO295" s="5">
        <f t="shared" si="32"/>
        <v>-0.36</v>
      </c>
      <c r="BP295" s="13">
        <f t="shared" si="33"/>
        <v>-0.043</v>
      </c>
      <c r="BQ295" s="13">
        <f t="shared" si="39"/>
        <v>0.06999999999999999</v>
      </c>
      <c r="BR295" s="5">
        <f t="shared" si="38"/>
        <v>0</v>
      </c>
      <c r="BS295" s="5">
        <f t="shared" si="34"/>
        <v>-0.36</v>
      </c>
      <c r="BV295" s="7"/>
      <c r="BW295" s="7"/>
    </row>
    <row r="296" spans="66:75" ht="15.75">
      <c r="BN296" s="7">
        <f t="shared" si="37"/>
        <v>43</v>
      </c>
      <c r="BO296" s="5">
        <f t="shared" si="32"/>
        <v>-0.36</v>
      </c>
      <c r="BP296" s="13">
        <f t="shared" si="33"/>
        <v>-0.043</v>
      </c>
      <c r="BQ296" s="13">
        <f t="shared" si="39"/>
        <v>0.06999999999999999</v>
      </c>
      <c r="BR296" s="5">
        <f t="shared" si="38"/>
        <v>3</v>
      </c>
      <c r="BS296" s="5">
        <f t="shared" si="34"/>
        <v>-0.15000000000000002</v>
      </c>
      <c r="BV296" s="7"/>
      <c r="BW296" s="7"/>
    </row>
    <row r="297" spans="66:75" ht="15.75">
      <c r="BN297" s="7">
        <f t="shared" si="37"/>
        <v>43</v>
      </c>
      <c r="BO297" s="5">
        <f t="shared" si="32"/>
        <v>-0.36</v>
      </c>
      <c r="BP297" s="13">
        <f t="shared" si="33"/>
        <v>-0.043</v>
      </c>
      <c r="BQ297" s="13">
        <f t="shared" si="39"/>
        <v>0.06999999999999999</v>
      </c>
      <c r="BR297" s="5">
        <f t="shared" si="38"/>
        <v>0</v>
      </c>
      <c r="BS297" s="5">
        <f t="shared" si="34"/>
        <v>-0.36</v>
      </c>
      <c r="BV297" s="7"/>
      <c r="BW297" s="7"/>
    </row>
    <row r="298" spans="66:75" ht="15.75">
      <c r="BN298" s="7">
        <f t="shared" si="37"/>
        <v>44</v>
      </c>
      <c r="BO298" s="5">
        <f t="shared" si="32"/>
        <v>-0.38</v>
      </c>
      <c r="BP298" s="13">
        <f t="shared" si="33"/>
        <v>-0.044</v>
      </c>
      <c r="BQ298" s="13">
        <f t="shared" si="39"/>
        <v>0.07666666666666667</v>
      </c>
      <c r="BR298" s="5">
        <f t="shared" si="38"/>
        <v>-20</v>
      </c>
      <c r="BS298" s="5">
        <f t="shared" si="34"/>
        <v>1</v>
      </c>
      <c r="BV298" s="7"/>
      <c r="BW298" s="7"/>
    </row>
    <row r="299" spans="66:75" ht="15.75">
      <c r="BN299" s="7">
        <f t="shared" si="37"/>
        <v>44</v>
      </c>
      <c r="BO299" s="5">
        <f t="shared" si="32"/>
        <v>-0.38</v>
      </c>
      <c r="BP299" s="13">
        <f t="shared" si="33"/>
        <v>-0.044</v>
      </c>
      <c r="BQ299" s="13">
        <f t="shared" si="39"/>
        <v>0.07666666666666667</v>
      </c>
      <c r="BR299" s="5">
        <f t="shared" si="38"/>
        <v>0</v>
      </c>
      <c r="BS299" s="5">
        <f t="shared" si="34"/>
        <v>-0.38</v>
      </c>
      <c r="BV299" s="7"/>
      <c r="BW299" s="7"/>
    </row>
    <row r="300" spans="66:75" ht="15.75">
      <c r="BN300" s="7">
        <f t="shared" si="37"/>
        <v>44</v>
      </c>
      <c r="BO300" s="5">
        <f t="shared" si="32"/>
        <v>-0.38</v>
      </c>
      <c r="BP300" s="13">
        <f t="shared" si="33"/>
        <v>-0.044</v>
      </c>
      <c r="BQ300" s="13">
        <f t="shared" si="39"/>
        <v>0.07666666666666667</v>
      </c>
      <c r="BR300" s="5">
        <f t="shared" si="38"/>
        <v>3</v>
      </c>
      <c r="BS300" s="5">
        <f t="shared" si="34"/>
        <v>-0.14999999999999997</v>
      </c>
      <c r="BV300" s="7"/>
      <c r="BW300" s="7"/>
    </row>
    <row r="301" spans="66:75" ht="15.75">
      <c r="BN301" s="7">
        <f t="shared" si="37"/>
        <v>44</v>
      </c>
      <c r="BO301" s="5">
        <f t="shared" si="32"/>
        <v>-0.38</v>
      </c>
      <c r="BP301" s="13">
        <f t="shared" si="33"/>
        <v>-0.044</v>
      </c>
      <c r="BQ301" s="13">
        <f t="shared" si="39"/>
        <v>0.07666666666666667</v>
      </c>
      <c r="BR301" s="5">
        <f t="shared" si="38"/>
        <v>0</v>
      </c>
      <c r="BS301" s="5">
        <f t="shared" si="34"/>
        <v>-0.38</v>
      </c>
      <c r="BV301" s="7"/>
      <c r="BW301" s="7"/>
    </row>
    <row r="302" spans="66:75" ht="15.75">
      <c r="BN302" s="7">
        <f t="shared" si="37"/>
        <v>45</v>
      </c>
      <c r="BO302" s="5">
        <f t="shared" si="32"/>
        <v>-0.4</v>
      </c>
      <c r="BP302" s="13">
        <f t="shared" si="33"/>
        <v>-0.045</v>
      </c>
      <c r="BQ302" s="13">
        <f t="shared" si="39"/>
        <v>0.08333333333333333</v>
      </c>
      <c r="BR302" s="5">
        <f t="shared" si="38"/>
        <v>-20</v>
      </c>
      <c r="BS302" s="5">
        <f t="shared" si="34"/>
        <v>1</v>
      </c>
      <c r="BV302" s="7"/>
      <c r="BW302" s="7"/>
    </row>
    <row r="303" spans="66:75" ht="15.75">
      <c r="BN303" s="7">
        <f t="shared" si="37"/>
        <v>45</v>
      </c>
      <c r="BO303" s="5">
        <f t="shared" si="32"/>
        <v>-0.4</v>
      </c>
      <c r="BP303" s="13">
        <f t="shared" si="33"/>
        <v>-0.045</v>
      </c>
      <c r="BQ303" s="13">
        <f t="shared" si="39"/>
        <v>0.08333333333333333</v>
      </c>
      <c r="BR303" s="5">
        <f t="shared" si="38"/>
        <v>0</v>
      </c>
      <c r="BS303" s="5">
        <f t="shared" si="34"/>
        <v>-0.4</v>
      </c>
      <c r="BV303" s="7"/>
      <c r="BW303" s="7"/>
    </row>
    <row r="304" spans="66:75" ht="15.75">
      <c r="BN304" s="7">
        <f t="shared" si="37"/>
        <v>45</v>
      </c>
      <c r="BO304" s="5">
        <f t="shared" si="32"/>
        <v>-0.4</v>
      </c>
      <c r="BP304" s="13">
        <f t="shared" si="33"/>
        <v>-0.045</v>
      </c>
      <c r="BQ304" s="13">
        <f t="shared" si="39"/>
        <v>0.08333333333333333</v>
      </c>
      <c r="BR304" s="5">
        <f t="shared" si="38"/>
        <v>3</v>
      </c>
      <c r="BS304" s="5">
        <f t="shared" si="34"/>
        <v>-0.15000000000000002</v>
      </c>
      <c r="BV304" s="7"/>
      <c r="BW304" s="7"/>
    </row>
    <row r="305" spans="66:75" ht="15.75">
      <c r="BN305" s="7">
        <f t="shared" si="37"/>
        <v>45</v>
      </c>
      <c r="BO305" s="5">
        <f t="shared" si="32"/>
        <v>-0.4</v>
      </c>
      <c r="BP305" s="13">
        <f t="shared" si="33"/>
        <v>-0.045</v>
      </c>
      <c r="BQ305" s="13">
        <f t="shared" si="39"/>
        <v>0.08333333333333333</v>
      </c>
      <c r="BR305" s="5">
        <f t="shared" si="38"/>
        <v>0</v>
      </c>
      <c r="BS305" s="5">
        <f t="shared" si="34"/>
        <v>-0.4</v>
      </c>
      <c r="BV305" s="7"/>
      <c r="BW305" s="7"/>
    </row>
    <row r="306" spans="66:75" ht="15.75">
      <c r="BN306" s="7">
        <f t="shared" si="37"/>
        <v>46</v>
      </c>
      <c r="BO306" s="5">
        <f t="shared" si="32"/>
        <v>-0.42000000000000004</v>
      </c>
      <c r="BP306" s="13">
        <f t="shared" si="33"/>
        <v>-0.046</v>
      </c>
      <c r="BQ306" s="13">
        <f t="shared" si="39"/>
        <v>0.09000000000000001</v>
      </c>
      <c r="BR306" s="5">
        <f t="shared" si="38"/>
        <v>-20</v>
      </c>
      <c r="BS306" s="5">
        <f t="shared" si="34"/>
        <v>1</v>
      </c>
      <c r="BV306" s="7"/>
      <c r="BW306" s="7"/>
    </row>
    <row r="307" spans="66:75" ht="15.75">
      <c r="BN307" s="7">
        <f t="shared" si="37"/>
        <v>46</v>
      </c>
      <c r="BO307" s="5">
        <f t="shared" si="32"/>
        <v>-0.42000000000000004</v>
      </c>
      <c r="BP307" s="13">
        <f t="shared" si="33"/>
        <v>-0.046</v>
      </c>
      <c r="BQ307" s="13">
        <f t="shared" si="39"/>
        <v>0.09000000000000001</v>
      </c>
      <c r="BR307" s="5">
        <f t="shared" si="38"/>
        <v>0</v>
      </c>
      <c r="BS307" s="5">
        <f t="shared" si="34"/>
        <v>-0.42000000000000004</v>
      </c>
      <c r="BV307" s="7"/>
      <c r="BW307" s="7"/>
    </row>
    <row r="308" spans="66:75" ht="15.75">
      <c r="BN308" s="7">
        <f t="shared" si="37"/>
        <v>46</v>
      </c>
      <c r="BO308" s="5">
        <f t="shared" si="32"/>
        <v>-0.42000000000000004</v>
      </c>
      <c r="BP308" s="13">
        <f t="shared" si="33"/>
        <v>-0.046</v>
      </c>
      <c r="BQ308" s="13">
        <f t="shared" si="39"/>
        <v>0.09000000000000001</v>
      </c>
      <c r="BR308" s="5">
        <f t="shared" si="38"/>
        <v>3</v>
      </c>
      <c r="BS308" s="5">
        <f t="shared" si="34"/>
        <v>-0.15000000000000002</v>
      </c>
      <c r="BV308" s="7"/>
      <c r="BW308" s="7"/>
    </row>
    <row r="309" spans="66:75" ht="15.75">
      <c r="BN309" s="7">
        <f t="shared" si="37"/>
        <v>46</v>
      </c>
      <c r="BO309" s="5">
        <f t="shared" si="32"/>
        <v>-0.42000000000000004</v>
      </c>
      <c r="BP309" s="13">
        <f t="shared" si="33"/>
        <v>-0.046</v>
      </c>
      <c r="BQ309" s="13">
        <f t="shared" si="39"/>
        <v>0.09000000000000001</v>
      </c>
      <c r="BR309" s="5">
        <f t="shared" si="38"/>
        <v>0</v>
      </c>
      <c r="BS309" s="5">
        <f t="shared" si="34"/>
        <v>-0.42000000000000004</v>
      </c>
      <c r="BV309" s="7"/>
      <c r="BW309" s="7"/>
    </row>
    <row r="310" spans="66:75" ht="15.75">
      <c r="BN310" s="7">
        <f t="shared" si="37"/>
        <v>47</v>
      </c>
      <c r="BO310" s="5">
        <f t="shared" si="32"/>
        <v>-0.44000000000000006</v>
      </c>
      <c r="BP310" s="13">
        <f t="shared" si="33"/>
        <v>-0.047</v>
      </c>
      <c r="BQ310" s="13">
        <f t="shared" si="39"/>
        <v>0.09666666666666668</v>
      </c>
      <c r="BR310" s="5">
        <f t="shared" si="38"/>
        <v>-20</v>
      </c>
      <c r="BS310" s="5">
        <f t="shared" si="34"/>
        <v>1</v>
      </c>
      <c r="BV310" s="7"/>
      <c r="BW310" s="7"/>
    </row>
    <row r="311" spans="66:75" ht="15.75">
      <c r="BN311" s="7">
        <f t="shared" si="37"/>
        <v>47</v>
      </c>
      <c r="BO311" s="5">
        <f t="shared" si="32"/>
        <v>-0.44000000000000006</v>
      </c>
      <c r="BP311" s="13">
        <f t="shared" si="33"/>
        <v>-0.047</v>
      </c>
      <c r="BQ311" s="13">
        <f t="shared" si="39"/>
        <v>0.09666666666666668</v>
      </c>
      <c r="BR311" s="5">
        <f t="shared" si="38"/>
        <v>0</v>
      </c>
      <c r="BS311" s="5">
        <f t="shared" si="34"/>
        <v>-0.44000000000000006</v>
      </c>
      <c r="BV311" s="7"/>
      <c r="BW311" s="7"/>
    </row>
    <row r="312" spans="66:75" ht="15.75">
      <c r="BN312" s="7">
        <f t="shared" si="37"/>
        <v>47</v>
      </c>
      <c r="BO312" s="5">
        <f t="shared" si="32"/>
        <v>-0.44000000000000006</v>
      </c>
      <c r="BP312" s="13">
        <f t="shared" si="33"/>
        <v>-0.047</v>
      </c>
      <c r="BQ312" s="13">
        <f t="shared" si="39"/>
        <v>0.09666666666666668</v>
      </c>
      <c r="BR312" s="5">
        <f t="shared" si="38"/>
        <v>3</v>
      </c>
      <c r="BS312" s="5">
        <f t="shared" si="34"/>
        <v>-0.15000000000000002</v>
      </c>
      <c r="BV312" s="7"/>
      <c r="BW312" s="7"/>
    </row>
    <row r="313" spans="66:75" ht="15.75">
      <c r="BN313" s="7">
        <f t="shared" si="37"/>
        <v>47</v>
      </c>
      <c r="BO313" s="5">
        <f t="shared" si="32"/>
        <v>-0.44000000000000006</v>
      </c>
      <c r="BP313" s="13">
        <f t="shared" si="33"/>
        <v>-0.047</v>
      </c>
      <c r="BQ313" s="13">
        <f t="shared" si="39"/>
        <v>0.09666666666666668</v>
      </c>
      <c r="BR313" s="5">
        <f t="shared" si="38"/>
        <v>0</v>
      </c>
      <c r="BS313" s="5">
        <f t="shared" si="34"/>
        <v>-0.44000000000000006</v>
      </c>
      <c r="BV313" s="7"/>
      <c r="BW313" s="7"/>
    </row>
    <row r="314" spans="66:75" ht="15.75">
      <c r="BN314" s="7">
        <f t="shared" si="37"/>
        <v>48</v>
      </c>
      <c r="BO314" s="5">
        <f aca="true" t="shared" si="40" ref="BO314:BO325">$C$2/2-$BP$118*BN314</f>
        <v>-0.45999999999999996</v>
      </c>
      <c r="BP314" s="13">
        <f t="shared" si="33"/>
        <v>-0.048</v>
      </c>
      <c r="BQ314" s="13">
        <f t="shared" si="39"/>
        <v>0.10333333333333332</v>
      </c>
      <c r="BR314" s="5">
        <f t="shared" si="38"/>
        <v>-20</v>
      </c>
      <c r="BS314" s="5">
        <f t="shared" si="34"/>
        <v>1</v>
      </c>
      <c r="BV314" s="7"/>
      <c r="BW314" s="7"/>
    </row>
    <row r="315" spans="66:75" ht="15.75">
      <c r="BN315" s="7">
        <f t="shared" si="37"/>
        <v>48</v>
      </c>
      <c r="BO315" s="5">
        <f t="shared" si="40"/>
        <v>-0.45999999999999996</v>
      </c>
      <c r="BP315" s="13">
        <f aca="true" t="shared" si="41" ref="BP315:BP325">(BO315-$C$2/2)/$C$4</f>
        <v>-0.048</v>
      </c>
      <c r="BQ315" s="13">
        <f t="shared" si="39"/>
        <v>0.10333333333333332</v>
      </c>
      <c r="BR315" s="5">
        <f t="shared" si="38"/>
        <v>0</v>
      </c>
      <c r="BS315" s="5">
        <f t="shared" si="34"/>
        <v>-0.45999999999999996</v>
      </c>
      <c r="BV315" s="7"/>
      <c r="BW315" s="7"/>
    </row>
    <row r="316" spans="66:75" ht="15.75">
      <c r="BN316" s="7">
        <f t="shared" si="37"/>
        <v>48</v>
      </c>
      <c r="BO316" s="5">
        <f t="shared" si="40"/>
        <v>-0.45999999999999996</v>
      </c>
      <c r="BP316" s="13">
        <f t="shared" si="41"/>
        <v>-0.048</v>
      </c>
      <c r="BQ316" s="13">
        <f t="shared" si="39"/>
        <v>0.10333333333333332</v>
      </c>
      <c r="BR316" s="5">
        <f t="shared" si="38"/>
        <v>3</v>
      </c>
      <c r="BS316" s="5">
        <f>IF($BV$117=0,0,IF(BR316&lt;0,$C$6,IF(BR316=0,BO316,BQ316*BR316+BO316)))</f>
        <v>-0.15000000000000002</v>
      </c>
      <c r="BV316" s="7"/>
      <c r="BW316" s="7"/>
    </row>
    <row r="317" spans="66:75" ht="15.75">
      <c r="BN317" s="7">
        <f t="shared" si="37"/>
        <v>48</v>
      </c>
      <c r="BO317" s="5">
        <f t="shared" si="40"/>
        <v>-0.45999999999999996</v>
      </c>
      <c r="BP317" s="13">
        <f t="shared" si="41"/>
        <v>-0.048</v>
      </c>
      <c r="BQ317" s="13">
        <f t="shared" si="39"/>
        <v>0.10333333333333332</v>
      </c>
      <c r="BR317" s="5">
        <f t="shared" si="38"/>
        <v>0</v>
      </c>
      <c r="BS317" s="5">
        <f>IF($BV$117=0,0,IF(BR317&lt;0,$C$6,IF(BR317=0,BO317,BQ317*BR317+BO317)))</f>
        <v>-0.45999999999999996</v>
      </c>
      <c r="BV317" s="7"/>
      <c r="BW317" s="7"/>
    </row>
    <row r="318" spans="66:75" ht="15.75">
      <c r="BN318" s="7">
        <f t="shared" si="37"/>
        <v>49</v>
      </c>
      <c r="BO318" s="5">
        <f t="shared" si="40"/>
        <v>-0.48</v>
      </c>
      <c r="BP318" s="13">
        <f t="shared" si="41"/>
        <v>-0.049</v>
      </c>
      <c r="BQ318" s="13">
        <f t="shared" si="39"/>
        <v>0.10999999999999999</v>
      </c>
      <c r="BR318" s="5">
        <f t="shared" si="38"/>
        <v>-20</v>
      </c>
      <c r="BS318" s="5">
        <f>IF($BV$117=0,0,IF(BR318&lt;0,$C$6,IF(BR318=0,BO318,BQ318*BR318+BO318)))</f>
        <v>1</v>
      </c>
      <c r="BV318" s="7"/>
      <c r="BW318" s="7"/>
    </row>
    <row r="319" spans="66:75" ht="15.75">
      <c r="BN319" s="7">
        <f aca="true" t="shared" si="42" ref="BN319:BN325">BN315+1</f>
        <v>49</v>
      </c>
      <c r="BO319" s="5">
        <f t="shared" si="40"/>
        <v>-0.48</v>
      </c>
      <c r="BP319" s="13">
        <f t="shared" si="41"/>
        <v>-0.049</v>
      </c>
      <c r="BQ319" s="13">
        <f t="shared" si="39"/>
        <v>0.10999999999999999</v>
      </c>
      <c r="BR319" s="5">
        <f aca="true" t="shared" si="43" ref="BR319:BR325">BR315</f>
        <v>0</v>
      </c>
      <c r="BS319" s="5">
        <f>IF($BV$117=0,0,IF(BR319&lt;0,$C$6,IF(BR319=0,BO319,BQ319*BR319+BO319)))</f>
        <v>-0.48</v>
      </c>
      <c r="BV319" s="7"/>
      <c r="BW319" s="7"/>
    </row>
    <row r="320" spans="66:75" ht="15.75">
      <c r="BN320" s="7">
        <f t="shared" si="42"/>
        <v>49</v>
      </c>
      <c r="BO320" s="5">
        <f t="shared" si="40"/>
        <v>-0.48</v>
      </c>
      <c r="BP320" s="13">
        <f t="shared" si="41"/>
        <v>-0.049</v>
      </c>
      <c r="BQ320" s="13">
        <f t="shared" si="39"/>
        <v>0.10999999999999999</v>
      </c>
      <c r="BR320" s="5">
        <f t="shared" si="43"/>
        <v>3</v>
      </c>
      <c r="BS320" s="5">
        <f>IF($BV$117=0,0,IF(BR320&lt;0,$C$6,IF(BR320=0,BO320,BQ320*BR320+BO320)))</f>
        <v>-0.15000000000000002</v>
      </c>
      <c r="BV320" s="7"/>
      <c r="BW320" s="7"/>
    </row>
    <row r="321" spans="66:75" ht="15.75">
      <c r="BN321" s="7">
        <f t="shared" si="42"/>
        <v>49</v>
      </c>
      <c r="BO321" s="5">
        <f t="shared" si="40"/>
        <v>-0.48</v>
      </c>
      <c r="BP321" s="13">
        <f t="shared" si="41"/>
        <v>-0.049</v>
      </c>
      <c r="BQ321" s="13">
        <f t="shared" si="39"/>
        <v>0.10999999999999999</v>
      </c>
      <c r="BR321" s="5">
        <f t="shared" si="43"/>
        <v>0</v>
      </c>
      <c r="BS321" s="5">
        <f>IF($BV$117=0,0,IF(BR321&lt;0,$C$6,IF(BR321=0,BO321,BQ321*BR321+BO321)))</f>
        <v>-0.48</v>
      </c>
      <c r="BV321" s="7"/>
      <c r="BW321" s="7"/>
    </row>
    <row r="322" spans="66:75" ht="15.75">
      <c r="BN322" s="7">
        <f t="shared" si="42"/>
        <v>50</v>
      </c>
      <c r="BO322" s="5">
        <f t="shared" si="40"/>
        <v>-0.5</v>
      </c>
      <c r="BP322" s="13">
        <f t="shared" si="41"/>
        <v>-0.05</v>
      </c>
      <c r="BQ322" s="13">
        <f t="shared" si="39"/>
        <v>0.11666666666666665</v>
      </c>
      <c r="BR322" s="5">
        <f t="shared" si="43"/>
        <v>-20</v>
      </c>
      <c r="BS322" s="5">
        <f>IF($BV$117=0,0,IF(BR322&lt;0,$C$6,IF(BR322=0,BO322,BQ322*BR322+BO322)))</f>
        <v>1</v>
      </c>
      <c r="BV322" s="7"/>
      <c r="BW322" s="7"/>
    </row>
    <row r="323" spans="66:75" ht="15.75">
      <c r="BN323" s="7">
        <f t="shared" si="42"/>
        <v>50</v>
      </c>
      <c r="BO323" s="5">
        <f t="shared" si="40"/>
        <v>-0.5</v>
      </c>
      <c r="BP323" s="13">
        <f t="shared" si="41"/>
        <v>-0.05</v>
      </c>
      <c r="BQ323" s="13">
        <f t="shared" si="39"/>
        <v>0.11666666666666665</v>
      </c>
      <c r="BR323" s="5">
        <f t="shared" si="43"/>
        <v>0</v>
      </c>
      <c r="BS323" s="5">
        <f>IF($BV$117=0,0,IF(BR323&lt;0,$C$6,IF(BR323=0,BO323,BQ323*BR323+BO323)))</f>
        <v>-0.5</v>
      </c>
      <c r="BV323" s="7"/>
      <c r="BW323" s="7"/>
    </row>
    <row r="324" spans="66:75" ht="15.75">
      <c r="BN324" s="7">
        <f t="shared" si="42"/>
        <v>50</v>
      </c>
      <c r="BO324" s="5">
        <f t="shared" si="40"/>
        <v>-0.5</v>
      </c>
      <c r="BP324" s="13">
        <f t="shared" si="41"/>
        <v>-0.05</v>
      </c>
      <c r="BQ324" s="13">
        <f t="shared" si="39"/>
        <v>0.11666666666666665</v>
      </c>
      <c r="BR324" s="5">
        <f t="shared" si="43"/>
        <v>3</v>
      </c>
      <c r="BS324" s="5">
        <f>IF($BV$117=0,0,IF(BR324&lt;0,$C$6,IF(BR324=0,BO324,BQ324*BR324+BO324)))</f>
        <v>-0.15000000000000002</v>
      </c>
      <c r="BV324" s="7"/>
      <c r="BW324" s="7"/>
    </row>
    <row r="325" spans="66:75" ht="15.75">
      <c r="BN325" s="7">
        <f t="shared" si="42"/>
        <v>50</v>
      </c>
      <c r="BO325" s="5">
        <f t="shared" si="40"/>
        <v>-0.5</v>
      </c>
      <c r="BP325" s="13">
        <f t="shared" si="41"/>
        <v>-0.05</v>
      </c>
      <c r="BQ325" s="13">
        <f t="shared" si="39"/>
        <v>0.11666666666666665</v>
      </c>
      <c r="BR325" s="5">
        <f t="shared" si="43"/>
        <v>0</v>
      </c>
      <c r="BS325" s="5">
        <f>IF($BV$117=0,0,IF(BR325&lt;0,$C$6,IF(BR325=0,BO325,BQ325*BR325+BO325)))</f>
        <v>-0.5</v>
      </c>
      <c r="BV325" s="7"/>
      <c r="BW325" s="7"/>
    </row>
    <row r="326" spans="66:75" ht="15.75">
      <c r="BN326" s="7"/>
      <c r="BO326" s="5"/>
      <c r="BP326" s="13"/>
      <c r="BQ326" s="13"/>
      <c r="BR326" s="5">
        <f>MAX(BR122:BR325)</f>
        <v>3</v>
      </c>
      <c r="BS326" s="5">
        <f>MAX(BS122:BS325)</f>
        <v>1</v>
      </c>
      <c r="BT326" s="29" t="s">
        <v>56</v>
      </c>
      <c r="BV326" s="7"/>
      <c r="BW326" s="7"/>
    </row>
    <row r="327" spans="66:75" ht="15.75">
      <c r="BN327" s="7"/>
      <c r="BO327" s="5"/>
      <c r="BP327" s="13"/>
      <c r="BQ327" s="13"/>
      <c r="BR327" s="5">
        <f>MIN(BR122:BR325)</f>
        <v>-20</v>
      </c>
      <c r="BS327" s="5">
        <f>MIN(BS122:BS325)</f>
        <v>-0.5</v>
      </c>
      <c r="BT327" s="29" t="s">
        <v>57</v>
      </c>
      <c r="BV327" s="7"/>
      <c r="BW327" s="7"/>
    </row>
    <row r="328" spans="66:75" ht="15.75">
      <c r="BN328" s="7"/>
      <c r="BO328" s="5"/>
      <c r="BP328" s="13"/>
      <c r="BQ328" s="13"/>
      <c r="BR328" s="10">
        <f>MAX(BR326:BR327)</f>
        <v>3</v>
      </c>
      <c r="BS328" s="10">
        <f>MAX(BS326:BS327)</f>
        <v>1</v>
      </c>
      <c r="BV328" s="7"/>
      <c r="BW328" s="7"/>
    </row>
    <row r="329" spans="66:75" ht="15.75">
      <c r="BN329" s="7"/>
      <c r="BO329" s="5"/>
      <c r="BP329" s="13"/>
      <c r="BQ329" s="13"/>
      <c r="BR329" s="5"/>
      <c r="BS329" s="5"/>
      <c r="BV329" s="7"/>
      <c r="BW329" s="7"/>
    </row>
    <row r="330" spans="66:75" ht="15.75">
      <c r="BN330" s="7"/>
      <c r="BV330" s="7"/>
      <c r="BW330" s="7"/>
    </row>
    <row r="331" spans="66:75" ht="15.75">
      <c r="BN331" s="7"/>
      <c r="BV331" s="7"/>
      <c r="BW331" s="7"/>
    </row>
    <row r="332" spans="66:75" ht="15.75">
      <c r="BN332" s="7"/>
      <c r="BV332" s="7"/>
      <c r="BW332" s="7"/>
    </row>
    <row r="333" spans="66:75" ht="15.75">
      <c r="BN333" s="7"/>
      <c r="BV333" s="7"/>
      <c r="BW333" s="7"/>
    </row>
    <row r="334" spans="66:75" ht="15.75">
      <c r="BN334" s="7"/>
      <c r="BV334" s="7"/>
      <c r="BW334" s="7"/>
    </row>
    <row r="335" spans="66:75" ht="15.75">
      <c r="BN335" s="7"/>
      <c r="BV335" s="7"/>
      <c r="BW335" s="7"/>
    </row>
    <row r="336" spans="66:75" ht="15.75">
      <c r="BN336" s="7"/>
      <c r="BV336" s="7"/>
      <c r="BW336" s="7"/>
    </row>
    <row r="337" spans="66:75" ht="15.75">
      <c r="BN337" s="7"/>
      <c r="BV337" s="7"/>
      <c r="BW337" s="7"/>
    </row>
    <row r="338" spans="66:75" ht="15.75">
      <c r="BN338" s="7"/>
      <c r="BV338" s="7"/>
      <c r="BW338" s="7"/>
    </row>
    <row r="339" spans="66:75" ht="15.75">
      <c r="BN339" s="7"/>
      <c r="BV339" s="7"/>
      <c r="BW339" s="7"/>
    </row>
    <row r="340" spans="66:75" ht="15.75">
      <c r="BN340" s="7"/>
      <c r="BV340" s="7"/>
      <c r="BW340" s="7"/>
    </row>
    <row r="341" spans="66:75" ht="15.75">
      <c r="BN341" s="7"/>
      <c r="BV341" s="7"/>
      <c r="BW341" s="7"/>
    </row>
    <row r="342" spans="66:75" ht="15.75">
      <c r="BN342" s="7"/>
      <c r="BV342" s="7"/>
      <c r="BW342" s="7"/>
    </row>
    <row r="343" spans="74:75" ht="15.75">
      <c r="BV343" s="7"/>
      <c r="BW343" s="7"/>
    </row>
    <row r="344" spans="74:75" ht="15.75">
      <c r="BV344" s="7"/>
      <c r="BW344" s="7"/>
    </row>
    <row r="345" spans="74:75" ht="15.75">
      <c r="BV345" s="7"/>
      <c r="BW345" s="7"/>
    </row>
    <row r="346" spans="74:75" ht="15.75">
      <c r="BV346" s="7"/>
      <c r="BW346" s="7"/>
    </row>
    <row r="347" spans="74:75" ht="15.75">
      <c r="BV347" s="7"/>
      <c r="BW347" s="7"/>
    </row>
    <row r="348" spans="74:75" ht="15.75">
      <c r="BV348" s="7"/>
      <c r="BW348" s="7"/>
    </row>
    <row r="349" spans="74:75" ht="15.75">
      <c r="BV349" s="7"/>
      <c r="BW349" s="7"/>
    </row>
    <row r="350" spans="74:75" ht="15.75">
      <c r="BV350" s="7"/>
      <c r="BW350" s="7"/>
    </row>
    <row r="351" spans="74:75" ht="15.75">
      <c r="BV351" s="7"/>
      <c r="BW351" s="7"/>
    </row>
    <row r="352" spans="74:75" ht="15.75">
      <c r="BV352" s="7"/>
      <c r="BW352" s="7"/>
    </row>
    <row r="353" spans="74:75" ht="15.75">
      <c r="BV353" s="7"/>
      <c r="BW353" s="7"/>
    </row>
    <row r="354" spans="74:75" ht="15.75">
      <c r="BV354" s="7"/>
      <c r="BW354" s="7"/>
    </row>
    <row r="355" spans="74:75" ht="15.75">
      <c r="BV355" s="7"/>
      <c r="BW355" s="7"/>
    </row>
    <row r="356" spans="74:75" ht="15.75">
      <c r="BV356" s="7"/>
      <c r="BW356" s="7"/>
    </row>
    <row r="357" spans="74:75" ht="15.75">
      <c r="BV357" s="7"/>
      <c r="BW357" s="7"/>
    </row>
    <row r="358" spans="74:75" ht="15.75">
      <c r="BV358" s="7"/>
      <c r="BW358" s="7"/>
    </row>
    <row r="359" spans="74:75" ht="15.75">
      <c r="BV359" s="7"/>
      <c r="BW359" s="7"/>
    </row>
    <row r="360" spans="74:75" ht="15.75">
      <c r="BV360" s="7"/>
      <c r="BW360" s="7"/>
    </row>
    <row r="361" spans="74:75" ht="15.75">
      <c r="BV361" s="7"/>
      <c r="BW361" s="7"/>
    </row>
    <row r="362" spans="74:75" ht="15.75">
      <c r="BV362" s="7"/>
      <c r="BW362" s="7"/>
    </row>
    <row r="363" spans="74:75" ht="15.75">
      <c r="BV363" s="7"/>
      <c r="BW363" s="7"/>
    </row>
    <row r="364" spans="74:75" ht="15.75">
      <c r="BV364" s="7"/>
      <c r="BW364" s="7"/>
    </row>
    <row r="365" spans="74:75" ht="15.75">
      <c r="BV365" s="7"/>
      <c r="BW365" s="7"/>
    </row>
    <row r="366" spans="74:75" ht="15.75">
      <c r="BV366" s="7"/>
      <c r="BW366" s="7"/>
    </row>
    <row r="367" spans="74:75" ht="15.75">
      <c r="BV367" s="7"/>
      <c r="BW367" s="7"/>
    </row>
    <row r="368" spans="74:75" ht="15.75">
      <c r="BV368" s="7"/>
      <c r="BW368" s="7"/>
    </row>
    <row r="369" spans="74:75" ht="15.75">
      <c r="BV369" s="7"/>
      <c r="BW369" s="7"/>
    </row>
    <row r="370" spans="74:75" ht="15.75">
      <c r="BV370" s="7"/>
      <c r="BW370" s="7"/>
    </row>
    <row r="371" spans="74:75" ht="15.75">
      <c r="BV371" s="7"/>
      <c r="BW371" s="7"/>
    </row>
    <row r="372" spans="74:75" ht="15.75">
      <c r="BV372" s="7"/>
      <c r="BW372" s="7"/>
    </row>
    <row r="373" spans="74:75" ht="15.75">
      <c r="BV373" s="7"/>
      <c r="BW373" s="7"/>
    </row>
    <row r="374" spans="74:75" ht="15.75">
      <c r="BV374" s="7"/>
      <c r="BW374" s="7"/>
    </row>
    <row r="375" spans="74:75" ht="15.75">
      <c r="BV375" s="7"/>
      <c r="BW375" s="7"/>
    </row>
    <row r="376" spans="74:75" ht="15.75">
      <c r="BV376" s="7"/>
      <c r="BW376" s="7"/>
    </row>
    <row r="377" spans="74:75" ht="15.75">
      <c r="BV377" s="7"/>
      <c r="BW377" s="7"/>
    </row>
    <row r="378" spans="74:75" ht="15.75">
      <c r="BV378" s="7"/>
      <c r="BW378" s="7"/>
    </row>
    <row r="379" spans="74:75" ht="15.75">
      <c r="BV379" s="7"/>
      <c r="BW379" s="7"/>
    </row>
    <row r="380" spans="74:75" ht="15.75">
      <c r="BV380" s="7"/>
      <c r="BW380" s="7"/>
    </row>
    <row r="381" spans="74:75" ht="15.75">
      <c r="BV381" s="7"/>
      <c r="BW381" s="7"/>
    </row>
    <row r="382" spans="74:75" ht="15.75">
      <c r="BV382" s="7"/>
      <c r="BW382" s="7"/>
    </row>
    <row r="383" spans="74:75" ht="15.75">
      <c r="BV383" s="7"/>
      <c r="BW383" s="7"/>
    </row>
    <row r="384" spans="74:75" ht="15.75">
      <c r="BV384" s="7"/>
      <c r="BW384" s="7"/>
    </row>
    <row r="385" spans="74:75" ht="15.75">
      <c r="BV385" s="7"/>
      <c r="BW385" s="7"/>
    </row>
    <row r="386" spans="74:75" ht="15.75">
      <c r="BV386" s="7"/>
      <c r="BW386" s="7"/>
    </row>
    <row r="387" spans="74:75" ht="15.75">
      <c r="BV387" s="7"/>
      <c r="BW387" s="7"/>
    </row>
    <row r="388" spans="74:75" ht="15.75">
      <c r="BV388" s="7"/>
      <c r="BW388" s="7"/>
    </row>
    <row r="389" spans="74:75" ht="15.75">
      <c r="BV389" s="7"/>
      <c r="BW389" s="7"/>
    </row>
    <row r="390" spans="74:75" ht="15.75">
      <c r="BV390" s="7"/>
      <c r="BW390" s="7"/>
    </row>
    <row r="391" spans="74:75" ht="15.75">
      <c r="BV391" s="7"/>
      <c r="BW391" s="7"/>
    </row>
    <row r="392" spans="74:75" ht="15.75">
      <c r="BV392" s="7"/>
      <c r="BW392" s="7"/>
    </row>
    <row r="393" spans="74:75" ht="15.75">
      <c r="BV393" s="7"/>
      <c r="BW393" s="7"/>
    </row>
    <row r="394" spans="74:75" ht="15.75">
      <c r="BV394" s="7"/>
      <c r="BW394" s="7"/>
    </row>
    <row r="395" spans="74:75" ht="15.75">
      <c r="BV395" s="7"/>
      <c r="BW395" s="7"/>
    </row>
    <row r="396" spans="74:75" ht="15.75">
      <c r="BV396" s="7"/>
      <c r="BW396" s="7"/>
    </row>
    <row r="397" spans="74:75" ht="15.75">
      <c r="BV397" s="7"/>
      <c r="BW397" s="7"/>
    </row>
    <row r="398" spans="74:75" ht="15.75">
      <c r="BV398" s="7"/>
      <c r="BW398" s="7"/>
    </row>
    <row r="399" spans="74:75" ht="15.75">
      <c r="BV399" s="7"/>
      <c r="BW399" s="7"/>
    </row>
    <row r="400" spans="74:75" ht="15.75">
      <c r="BV400" s="7"/>
      <c r="BW400" s="7"/>
    </row>
    <row r="401" spans="74:75" ht="15.75">
      <c r="BV401" s="7"/>
      <c r="BW401" s="7"/>
    </row>
    <row r="402" spans="74:75" ht="15.75">
      <c r="BV402" s="7"/>
      <c r="BW402" s="7"/>
    </row>
    <row r="403" spans="74:75" ht="15.75">
      <c r="BV403" s="7"/>
      <c r="BW403" s="7"/>
    </row>
    <row r="404" spans="74:75" ht="15.75">
      <c r="BV404" s="7"/>
      <c r="BW404" s="7"/>
    </row>
    <row r="405" spans="74:75" ht="15.75">
      <c r="BV405" s="7"/>
      <c r="BW405" s="7"/>
    </row>
    <row r="406" spans="74:75" ht="15.75">
      <c r="BV406" s="7"/>
      <c r="BW406" s="7"/>
    </row>
    <row r="407" spans="74:75" ht="15.75">
      <c r="BV407" s="7"/>
      <c r="BW407" s="7"/>
    </row>
    <row r="408" spans="74:75" ht="15.75">
      <c r="BV408" s="7"/>
      <c r="BW408" s="7"/>
    </row>
    <row r="409" spans="74:75" ht="15.75">
      <c r="BV409" s="7"/>
      <c r="BW409" s="7"/>
    </row>
    <row r="410" spans="74:75" ht="15.75">
      <c r="BV410" s="7"/>
      <c r="BW410" s="7"/>
    </row>
    <row r="411" spans="74:75" ht="15.75">
      <c r="BV411" s="7"/>
      <c r="BW411" s="7"/>
    </row>
    <row r="412" spans="74:75" ht="15.75">
      <c r="BV412" s="7"/>
      <c r="BW412" s="7"/>
    </row>
    <row r="413" spans="74:75" ht="15.75">
      <c r="BV413" s="7"/>
      <c r="BW413" s="7"/>
    </row>
    <row r="414" spans="74:75" ht="15.75">
      <c r="BV414" s="7"/>
      <c r="BW414" s="7"/>
    </row>
    <row r="415" spans="74:75" ht="15.75">
      <c r="BV415" s="7"/>
      <c r="BW415" s="7"/>
    </row>
    <row r="416" spans="74:75" ht="15.75">
      <c r="BV416" s="7"/>
      <c r="BW416" s="7"/>
    </row>
    <row r="417" spans="74:75" ht="15.75">
      <c r="BV417" s="7"/>
      <c r="BW417" s="7"/>
    </row>
    <row r="418" spans="74:75" ht="15.75">
      <c r="BV418" s="7"/>
      <c r="BW418" s="7"/>
    </row>
    <row r="419" spans="74:75" ht="15.75">
      <c r="BV419" s="7"/>
      <c r="BW419" s="7"/>
    </row>
    <row r="420" spans="74:75" ht="15.75">
      <c r="BV420" s="7"/>
      <c r="BW420" s="7"/>
    </row>
    <row r="421" spans="74:75" ht="15.75">
      <c r="BV421" s="7"/>
      <c r="BW421" s="7"/>
    </row>
    <row r="422" spans="74:75" ht="15.75">
      <c r="BV422" s="7"/>
      <c r="BW422" s="7"/>
    </row>
    <row r="423" spans="74:75" ht="15.75">
      <c r="BV423" s="7"/>
      <c r="BW423" s="7"/>
    </row>
    <row r="424" spans="74:75" ht="15.75">
      <c r="BV424" s="7"/>
      <c r="BW424" s="7"/>
    </row>
    <row r="425" spans="74:75" ht="15.75">
      <c r="BV425" s="7"/>
      <c r="BW425" s="7"/>
    </row>
    <row r="426" spans="74:75" ht="15.75">
      <c r="BV426" s="7"/>
      <c r="BW426" s="7"/>
    </row>
    <row r="427" spans="74:75" ht="15.75">
      <c r="BV427" s="7"/>
      <c r="BW427" s="7"/>
    </row>
    <row r="428" spans="74:75" ht="15.75">
      <c r="BV428" s="7"/>
      <c r="BW428" s="7"/>
    </row>
    <row r="429" spans="74:75" ht="15.75">
      <c r="BV429" s="7"/>
      <c r="BW429" s="7"/>
    </row>
    <row r="430" spans="74:75" ht="15.75">
      <c r="BV430" s="7"/>
      <c r="BW430" s="7"/>
    </row>
    <row r="431" spans="74:75" ht="15.75">
      <c r="BV431" s="7"/>
      <c r="BW431" s="7"/>
    </row>
    <row r="432" spans="74:75" ht="15.75">
      <c r="BV432" s="7"/>
      <c r="BW432" s="7"/>
    </row>
    <row r="433" spans="74:75" ht="15.75">
      <c r="BV433" s="7"/>
      <c r="BW433" s="7"/>
    </row>
    <row r="434" spans="74:75" ht="15.75">
      <c r="BV434" s="7"/>
      <c r="BW434" s="7"/>
    </row>
    <row r="435" spans="74:75" ht="15.75">
      <c r="BV435" s="7"/>
      <c r="BW435" s="7"/>
    </row>
    <row r="436" spans="74:75" ht="15.75">
      <c r="BV436" s="7"/>
      <c r="BW436" s="7"/>
    </row>
    <row r="437" spans="74:75" ht="15.75">
      <c r="BV437" s="7"/>
      <c r="BW437" s="7"/>
    </row>
    <row r="438" spans="74:75" ht="15.75">
      <c r="BV438" s="7"/>
      <c r="BW438" s="7"/>
    </row>
    <row r="439" spans="74:75" ht="15.75">
      <c r="BV439" s="7"/>
      <c r="BW439" s="7"/>
    </row>
    <row r="440" spans="74:75" ht="15.75">
      <c r="BV440" s="7"/>
      <c r="BW440" s="7"/>
    </row>
    <row r="441" spans="74:75" ht="15.75">
      <c r="BV441" s="7"/>
      <c r="BW441" s="7"/>
    </row>
    <row r="442" spans="74:75" ht="15.75">
      <c r="BV442" s="7"/>
      <c r="BW442" s="7"/>
    </row>
    <row r="443" spans="74:75" ht="15.75">
      <c r="BV443" s="7"/>
      <c r="BW443" s="7"/>
    </row>
    <row r="444" spans="74:75" ht="15.75">
      <c r="BV444" s="7"/>
      <c r="BW444" s="7"/>
    </row>
    <row r="445" spans="74:75" ht="15.75">
      <c r="BV445" s="7"/>
      <c r="BW445" s="7"/>
    </row>
    <row r="446" spans="74:75" ht="15.75">
      <c r="BV446" s="7"/>
      <c r="BW446" s="7"/>
    </row>
    <row r="447" spans="74:75" ht="15.75">
      <c r="BV447" s="7"/>
      <c r="BW447" s="7"/>
    </row>
    <row r="448" spans="74:75" ht="15.75">
      <c r="BV448" s="7"/>
      <c r="BW448" s="7"/>
    </row>
    <row r="449" spans="74:75" ht="15.75">
      <c r="BV449" s="7"/>
      <c r="BW449" s="7"/>
    </row>
    <row r="450" spans="74:75" ht="15.75">
      <c r="BV450" s="7"/>
      <c r="BW450" s="7"/>
    </row>
    <row r="451" spans="74:75" ht="15.75">
      <c r="BV451" s="7"/>
      <c r="BW451" s="7"/>
    </row>
    <row r="452" spans="74:75" ht="15.75">
      <c r="BV452" s="7"/>
      <c r="BW452" s="7"/>
    </row>
    <row r="453" spans="74:75" ht="15.75">
      <c r="BV453" s="7"/>
      <c r="BW453" s="7"/>
    </row>
    <row r="454" spans="74:75" ht="15.75">
      <c r="BV454" s="7"/>
      <c r="BW454" s="7"/>
    </row>
    <row r="455" spans="74:75" ht="15.75">
      <c r="BV455" s="7"/>
      <c r="BW455" s="7"/>
    </row>
    <row r="456" spans="74:75" ht="15.75">
      <c r="BV456" s="7"/>
      <c r="BW456" s="7"/>
    </row>
    <row r="457" spans="74:75" ht="15.75">
      <c r="BV457" s="7"/>
      <c r="BW457" s="7"/>
    </row>
    <row r="458" spans="74:75" ht="15.75">
      <c r="BV458" s="7"/>
      <c r="BW458" s="7"/>
    </row>
    <row r="459" spans="74:75" ht="15.75">
      <c r="BV459" s="7"/>
      <c r="BW459" s="7"/>
    </row>
    <row r="460" spans="74:75" ht="15.75">
      <c r="BV460" s="7"/>
      <c r="BW460" s="7"/>
    </row>
    <row r="461" spans="74:75" ht="15.75">
      <c r="BV461" s="7"/>
      <c r="BW461" s="7"/>
    </row>
    <row r="462" spans="74:75" ht="15.75">
      <c r="BV462" s="7"/>
      <c r="BW462" s="7"/>
    </row>
    <row r="463" spans="74:75" ht="15.75">
      <c r="BV463" s="7"/>
      <c r="BW463" s="7"/>
    </row>
    <row r="464" spans="74:75" ht="15.75">
      <c r="BV464" s="7"/>
      <c r="BW464" s="7"/>
    </row>
    <row r="465" spans="74:75" ht="15.75">
      <c r="BV465" s="7"/>
      <c r="BW465" s="7"/>
    </row>
    <row r="466" spans="74:75" ht="15.75">
      <c r="BV466" s="7"/>
      <c r="BW466" s="7"/>
    </row>
    <row r="467" spans="74:75" ht="15.75">
      <c r="BV467" s="7"/>
      <c r="BW467" s="7"/>
    </row>
    <row r="468" spans="74:75" ht="15.75">
      <c r="BV468" s="7"/>
      <c r="BW468" s="7"/>
    </row>
    <row r="469" spans="74:75" ht="15.75">
      <c r="BV469" s="7"/>
      <c r="BW469" s="7"/>
    </row>
    <row r="470" spans="74:75" ht="15.75">
      <c r="BV470" s="7"/>
      <c r="BW470" s="7"/>
    </row>
    <row r="471" spans="74:75" ht="15.75">
      <c r="BV471" s="7"/>
      <c r="BW471" s="7"/>
    </row>
    <row r="472" spans="74:75" ht="15.75">
      <c r="BV472" s="7"/>
      <c r="BW472" s="7"/>
    </row>
    <row r="473" spans="74:75" ht="15.75">
      <c r="BV473" s="7"/>
      <c r="BW473" s="7"/>
    </row>
    <row r="474" spans="74:75" ht="15.75">
      <c r="BV474" s="7"/>
      <c r="BW474" s="7"/>
    </row>
    <row r="475" spans="74:75" ht="15.75">
      <c r="BV475" s="7"/>
      <c r="BW475" s="7"/>
    </row>
    <row r="476" spans="74:75" ht="15.75">
      <c r="BV476" s="7"/>
      <c r="BW476" s="7"/>
    </row>
    <row r="477" spans="74:75" ht="15.75">
      <c r="BV477" s="7"/>
      <c r="BW477" s="7"/>
    </row>
    <row r="478" spans="74:75" ht="15.75">
      <c r="BV478" s="7"/>
      <c r="BW478" s="7"/>
    </row>
    <row r="479" spans="74:75" ht="15.75">
      <c r="BV479" s="7"/>
      <c r="BW479" s="7"/>
    </row>
    <row r="480" spans="74:75" ht="15.75">
      <c r="BV480" s="7"/>
      <c r="BW480" s="7"/>
    </row>
    <row r="481" spans="74:75" ht="15.75">
      <c r="BV481" s="7"/>
      <c r="BW481" s="7"/>
    </row>
    <row r="482" spans="74:75" ht="15.75">
      <c r="BV482" s="7"/>
      <c r="BW482" s="7"/>
    </row>
    <row r="483" spans="74:75" ht="15.75">
      <c r="BV483" s="7"/>
      <c r="BW483" s="7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B2:AD58"/>
  <sheetViews>
    <sheetView showGridLines="0" showRowColHeaders="0" workbookViewId="0" topLeftCell="A1">
      <pane xSplit="26" topLeftCell="AD1" activePane="topRight" state="frozen"/>
      <selection pane="topLeft" activeCell="A1" sqref="A1"/>
      <selection pane="topRight" activeCell="J11" sqref="J11"/>
    </sheetView>
  </sheetViews>
  <sheetFormatPr defaultColWidth="9.140625" defaultRowHeight="12.75"/>
  <cols>
    <col min="1" max="1" width="1.421875" style="84" customWidth="1"/>
    <col min="2" max="2" width="9.140625" style="84" customWidth="1"/>
    <col min="3" max="3" width="14.421875" style="84" bestFit="1" customWidth="1"/>
    <col min="4" max="4" width="7.7109375" style="84" bestFit="1" customWidth="1"/>
    <col min="5" max="5" width="14.421875" style="84" bestFit="1" customWidth="1"/>
    <col min="6" max="6" width="5.8515625" style="84" bestFit="1" customWidth="1"/>
    <col min="7" max="7" width="13.421875" style="84" customWidth="1"/>
    <col min="8" max="21" width="9.140625" style="84" customWidth="1"/>
    <col min="22" max="22" width="16.57421875" style="84" bestFit="1" customWidth="1"/>
    <col min="23" max="26" width="97.140625" style="84" customWidth="1"/>
    <col min="27" max="28" width="9.140625" style="84" customWidth="1"/>
    <col min="29" max="29" width="5.57421875" style="84" bestFit="1" customWidth="1"/>
    <col min="30" max="30" width="4.140625" style="84" bestFit="1" customWidth="1"/>
    <col min="31" max="16384" width="9.140625" style="84" customWidth="1"/>
  </cols>
  <sheetData>
    <row r="1" ht="12.75" customHeight="1"/>
    <row r="2" ht="18.75">
      <c r="B2" s="63" t="s">
        <v>105</v>
      </c>
    </row>
    <row r="3" ht="13.5" customHeight="1"/>
    <row r="9" ht="27" customHeight="1"/>
    <row r="10" spans="2:7" ht="18.75">
      <c r="B10" s="98" t="s">
        <v>59</v>
      </c>
      <c r="C10" s="86">
        <f>AC32</f>
        <v>50</v>
      </c>
      <c r="D10" s="98" t="s">
        <v>97</v>
      </c>
      <c r="E10" s="87">
        <f>C10/100</f>
        <v>0.5</v>
      </c>
      <c r="F10" s="98" t="s">
        <v>94</v>
      </c>
      <c r="G10" s="88"/>
    </row>
    <row r="11" spans="2:4" ht="4.5" customHeight="1">
      <c r="B11" s="63"/>
      <c r="C11" s="89"/>
      <c r="D11" s="63"/>
    </row>
    <row r="12" spans="2:6" ht="21.75" customHeight="1">
      <c r="B12" s="98" t="s">
        <v>106</v>
      </c>
      <c r="C12" s="90">
        <f>AB32</f>
        <v>5</v>
      </c>
      <c r="D12" s="98" t="s">
        <v>0</v>
      </c>
      <c r="E12" s="85"/>
      <c r="F12" s="85"/>
    </row>
    <row r="13" spans="2:4" ht="18.75">
      <c r="B13" s="63" t="s">
        <v>60</v>
      </c>
      <c r="C13" s="99">
        <v>10</v>
      </c>
      <c r="D13" s="63" t="s">
        <v>0</v>
      </c>
    </row>
    <row r="14" spans="2:4" ht="6" customHeight="1">
      <c r="B14" s="63"/>
      <c r="C14" s="89"/>
      <c r="D14" s="63"/>
    </row>
    <row r="15" spans="2:4" ht="18.75">
      <c r="B15" s="63" t="s">
        <v>93</v>
      </c>
      <c r="C15" s="99">
        <f>1/(1/C13-1/C10)</f>
        <v>12.5</v>
      </c>
      <c r="D15" s="63" t="s">
        <v>0</v>
      </c>
    </row>
    <row r="16" spans="2:4" ht="20.25">
      <c r="B16" s="63" t="s">
        <v>107</v>
      </c>
      <c r="C16" s="100">
        <f>ABS(AB45)</f>
        <v>1.25</v>
      </c>
      <c r="D16" s="63" t="s">
        <v>0</v>
      </c>
    </row>
    <row r="17" ht="5.25" customHeight="1"/>
    <row r="18" spans="2:6" ht="18.75">
      <c r="B18" s="91" t="s">
        <v>101</v>
      </c>
      <c r="C18" s="85"/>
      <c r="D18" s="85"/>
      <c r="E18" s="85"/>
      <c r="F18" s="86" t="str">
        <f>IF(AC46=1,"Ja","Nee")</f>
        <v>Nee</v>
      </c>
    </row>
    <row r="22" spans="27:28" ht="18.75">
      <c r="AA22" s="92" t="s">
        <v>16</v>
      </c>
      <c r="AB22" s="92"/>
    </row>
    <row r="23" spans="27:28" ht="18.75">
      <c r="AA23" s="92"/>
      <c r="AB23" s="92"/>
    </row>
    <row r="24" spans="27:28" ht="18.75">
      <c r="AA24" s="92" t="s">
        <v>3</v>
      </c>
      <c r="AB24" s="92" t="s">
        <v>4</v>
      </c>
    </row>
    <row r="25" spans="12:28" ht="18.75">
      <c r="L25" s="84" t="s">
        <v>102</v>
      </c>
      <c r="AA25" s="92"/>
      <c r="AB25" s="92"/>
    </row>
    <row r="26" spans="27:28" ht="18.75">
      <c r="AA26" s="92">
        <v>-100</v>
      </c>
      <c r="AB26" s="92">
        <v>0</v>
      </c>
    </row>
    <row r="27" spans="27:28" ht="18.75">
      <c r="AA27" s="92">
        <v>100</v>
      </c>
      <c r="AB27" s="92">
        <v>0</v>
      </c>
    </row>
    <row r="28" spans="27:28" ht="18.75">
      <c r="AA28" s="92" t="s">
        <v>89</v>
      </c>
      <c r="AB28" s="92"/>
    </row>
    <row r="29" spans="27:28" ht="18.75">
      <c r="AA29" s="92">
        <v>0</v>
      </c>
      <c r="AB29" s="92">
        <v>1</v>
      </c>
    </row>
    <row r="30" spans="27:28" ht="18.75">
      <c r="AA30" s="92">
        <v>0</v>
      </c>
      <c r="AB30" s="92">
        <v>-1</v>
      </c>
    </row>
    <row r="31" spans="27:28" ht="18.75">
      <c r="AA31" s="92" t="s">
        <v>90</v>
      </c>
      <c r="AB31" s="92"/>
    </row>
    <row r="32" spans="27:30" ht="18.75">
      <c r="AA32" s="92">
        <f>-AC32</f>
        <v>-50</v>
      </c>
      <c r="AB32" s="92">
        <f>AD32/10</f>
        <v>5</v>
      </c>
      <c r="AC32" s="101">
        <v>50</v>
      </c>
      <c r="AD32" s="101">
        <v>50</v>
      </c>
    </row>
    <row r="33" spans="27:28" ht="18.75">
      <c r="AA33" s="92" t="s">
        <v>91</v>
      </c>
      <c r="AB33" s="92"/>
    </row>
    <row r="34" spans="27:28" ht="18.75">
      <c r="AA34" s="92">
        <f>AA32</f>
        <v>-50</v>
      </c>
      <c r="AB34" s="92">
        <f>AB32</f>
        <v>5</v>
      </c>
    </row>
    <row r="35" spans="27:28" ht="18.75">
      <c r="AA35" s="92">
        <f>AA29</f>
        <v>0</v>
      </c>
      <c r="AB35" s="92">
        <f>AB29</f>
        <v>1</v>
      </c>
    </row>
    <row r="36" spans="27:28" ht="18.75">
      <c r="AA36" s="93">
        <f>AA45</f>
        <v>12.5</v>
      </c>
      <c r="AB36" s="93">
        <f>AB45</f>
        <v>-1.25</v>
      </c>
    </row>
    <row r="37" spans="27:28" ht="18.75">
      <c r="AA37" s="92" t="s">
        <v>92</v>
      </c>
      <c r="AB37" s="92"/>
    </row>
    <row r="38" spans="27:28" ht="18.75">
      <c r="AA38" s="92">
        <f>AA32</f>
        <v>-50</v>
      </c>
      <c r="AB38" s="92">
        <f>AB32</f>
        <v>5</v>
      </c>
    </row>
    <row r="39" spans="27:28" ht="18.75">
      <c r="AA39" s="92">
        <f>AA30</f>
        <v>0</v>
      </c>
      <c r="AB39" s="92">
        <f>AB30</f>
        <v>-1</v>
      </c>
    </row>
    <row r="40" spans="27:28" ht="18.75">
      <c r="AA40" s="93">
        <f>AA45</f>
        <v>12.5</v>
      </c>
      <c r="AB40" s="93">
        <f>AB45</f>
        <v>-1.25</v>
      </c>
    </row>
    <row r="41" spans="27:28" ht="18.75">
      <c r="AA41" s="94" t="s">
        <v>96</v>
      </c>
      <c r="AB41" s="94"/>
    </row>
    <row r="42" spans="27:28" ht="18.75">
      <c r="AA42" s="94">
        <f>AA32</f>
        <v>-50</v>
      </c>
      <c r="AB42" s="95">
        <f>AB32</f>
        <v>5</v>
      </c>
    </row>
    <row r="43" spans="27:28" ht="18.75">
      <c r="AA43" s="93">
        <f>AA45</f>
        <v>12.5</v>
      </c>
      <c r="AB43" s="95">
        <f>AB45</f>
        <v>-1.25</v>
      </c>
    </row>
    <row r="44" spans="27:28" ht="18.75">
      <c r="AA44" s="94" t="s">
        <v>95</v>
      </c>
      <c r="AB44" s="94"/>
    </row>
    <row r="45" spans="27:28" ht="18.75">
      <c r="AA45" s="93">
        <f>C15</f>
        <v>12.5</v>
      </c>
      <c r="AB45" s="95">
        <f>AA45/AA32*AB32</f>
        <v>-1.25</v>
      </c>
    </row>
    <row r="46" spans="27:29" ht="18.75">
      <c r="AA46" s="84" t="s">
        <v>98</v>
      </c>
      <c r="AC46" s="101">
        <v>0</v>
      </c>
    </row>
    <row r="47" spans="27:28" ht="18.75">
      <c r="AA47" s="94" t="s">
        <v>99</v>
      </c>
      <c r="AB47" s="94"/>
    </row>
    <row r="48" spans="27:28" ht="18.75">
      <c r="AA48" s="94">
        <f>AA32</f>
        <v>-50</v>
      </c>
      <c r="AB48" s="94">
        <f>IF(AC46=1,AB32,100)</f>
        <v>100</v>
      </c>
    </row>
    <row r="49" spans="27:28" ht="18.75">
      <c r="AA49" s="94">
        <v>0</v>
      </c>
      <c r="AB49" s="94">
        <f>IF(AC46=1,AB32,100)</f>
        <v>100</v>
      </c>
    </row>
    <row r="50" spans="27:28" ht="18.75">
      <c r="AA50" s="93">
        <f>AA45</f>
        <v>12.5</v>
      </c>
      <c r="AB50" s="96">
        <f>IF(AC46=1,AB45,100)</f>
        <v>100</v>
      </c>
    </row>
    <row r="51" spans="27:28" ht="18.75">
      <c r="AA51" s="94" t="s">
        <v>100</v>
      </c>
      <c r="AB51" s="94"/>
    </row>
    <row r="52" spans="27:28" ht="18.75">
      <c r="AA52" s="94">
        <f>AA32</f>
        <v>-50</v>
      </c>
      <c r="AB52" s="94">
        <f>IF(AC46=1,AB32,100)</f>
        <v>100</v>
      </c>
    </row>
    <row r="53" spans="27:28" ht="18.75">
      <c r="AA53" s="94">
        <v>0</v>
      </c>
      <c r="AB53" s="95">
        <f>IF(AC46=1,AB45,100)</f>
        <v>100</v>
      </c>
    </row>
    <row r="54" spans="27:28" ht="18.75">
      <c r="AA54" s="93">
        <f>AA45</f>
        <v>12.5</v>
      </c>
      <c r="AB54" s="93">
        <f>IF(AC46=1,AB45,100)</f>
        <v>100</v>
      </c>
    </row>
    <row r="55" spans="27:28" ht="18.75">
      <c r="AA55" s="92" t="s">
        <v>5</v>
      </c>
      <c r="AB55" s="92"/>
    </row>
    <row r="56" spans="27:28" ht="18.75">
      <c r="AA56" s="97">
        <f>-C13</f>
        <v>-10</v>
      </c>
      <c r="AB56" s="94">
        <v>0</v>
      </c>
    </row>
    <row r="57" spans="27:28" ht="18.75">
      <c r="AA57" s="92" t="s">
        <v>6</v>
      </c>
      <c r="AB57" s="92"/>
    </row>
    <row r="58" spans="27:28" ht="18.75">
      <c r="AA58" s="97">
        <f>C13</f>
        <v>10</v>
      </c>
      <c r="AB58" s="94">
        <v>0</v>
      </c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2007-02-22T19:43:53Z</dcterms:created>
  <dcterms:modified xsi:type="dcterms:W3CDTF">2009-03-24T20:03:41Z</dcterms:modified>
  <cp:category/>
  <cp:version/>
  <cp:contentType/>
  <cp:contentStatus/>
</cp:coreProperties>
</file>