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660" activeTab="1"/>
  </bookViews>
  <sheets>
    <sheet name="Menu" sheetId="1" r:id="rId1"/>
    <sheet name="kerncentrale" sheetId="2" r:id="rId2"/>
    <sheet name="Theorie-" sheetId="3" r:id="rId3"/>
    <sheet name="Theorie" sheetId="4" state="hidden" r:id="rId4"/>
  </sheets>
  <definedNames/>
  <calcPr fullCalcOnLoad="1"/>
</workbook>
</file>

<file path=xl/sharedStrings.xml><?xml version="1.0" encoding="utf-8"?>
<sst xmlns="http://schemas.openxmlformats.org/spreadsheetml/2006/main" count="280" uniqueCount="199">
  <si>
    <t>vx =</t>
  </si>
  <si>
    <t>m</t>
  </si>
  <si>
    <t>m/s</t>
  </si>
  <si>
    <t>s</t>
  </si>
  <si>
    <t>x</t>
  </si>
  <si>
    <t>y</t>
  </si>
  <si>
    <t>t</t>
  </si>
  <si>
    <t>g =</t>
  </si>
  <si>
    <t>: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</si>
  <si>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</si>
  <si>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</si>
  <si>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</si>
  <si>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</si>
  <si>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</si>
  <si>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</si>
  <si>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</si>
  <si>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</si>
  <si>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</si>
  <si>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</si>
  <si>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</si>
  <si>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</si>
  <si>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</si>
  <si>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</si>
  <si>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</si>
  <si>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</si>
  <si>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</si>
  <si>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</si>
  <si>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</si>
  <si>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</si>
  <si>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</si>
  <si>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</si>
  <si>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</si>
  <si>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</si>
  <si>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</si>
  <si>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</si>
  <si>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</si>
  <si>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</si>
  <si>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</si>
  <si>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</si>
  <si>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kg</t>
  </si>
  <si>
    <t>f =</t>
  </si>
  <si>
    <t>tijdvertraging:</t>
  </si>
  <si>
    <r>
      <t>w</t>
    </r>
    <r>
      <rPr>
        <sz val="12"/>
        <rFont val="Times New Roman"/>
        <family val="1"/>
      </rPr>
      <t>=</t>
    </r>
  </si>
  <si>
    <t>onvertraagd</t>
  </si>
  <si>
    <t>T =</t>
  </si>
  <si>
    <t>a.g.tijmensen</t>
  </si>
  <si>
    <r>
      <t xml:space="preserve">hoek </t>
    </r>
    <r>
      <rPr>
        <b/>
        <sz val="12"/>
        <rFont val="Symbol"/>
        <family val="1"/>
      </rPr>
      <t>f</t>
    </r>
  </si>
  <si>
    <t>Stopwatch</t>
  </si>
  <si>
    <t>(versneld)</t>
  </si>
  <si>
    <t>Kerncentrale</t>
  </si>
  <si>
    <t>mantel/beton</t>
  </si>
  <si>
    <t>condensor</t>
  </si>
  <si>
    <t>warmtewisselaar</t>
  </si>
  <si>
    <t>R =pomp</t>
  </si>
  <si>
    <t>x =</t>
  </si>
  <si>
    <t>k =</t>
  </si>
  <si>
    <t>Start proces</t>
  </si>
  <si>
    <t>W</t>
  </si>
  <si>
    <t>Regelstaven instellen:</t>
  </si>
  <si>
    <t>%</t>
  </si>
  <si>
    <t>Brandstofstaven lengte</t>
  </si>
  <si>
    <t>x onderkant</t>
  </si>
  <si>
    <t>y onderkant</t>
  </si>
  <si>
    <t>Branstofstaven afstand</t>
  </si>
  <si>
    <t>hoogte is</t>
  </si>
  <si>
    <t>dh =</t>
  </si>
  <si>
    <t>Water in bassin breedte =</t>
  </si>
  <si>
    <t>hoogte</t>
  </si>
  <si>
    <t>waterbassin breedte</t>
  </si>
  <si>
    <t>Tijdvertraging</t>
  </si>
  <si>
    <t>e =</t>
  </si>
  <si>
    <t>C</t>
  </si>
  <si>
    <t>J</t>
  </si>
  <si>
    <t>P(t=0) = N(0)*E =</t>
  </si>
  <si>
    <t>N(0) =</t>
  </si>
  <si>
    <t>splijt/s</t>
  </si>
  <si>
    <t>M =</t>
  </si>
  <si>
    <t>m =</t>
  </si>
  <si>
    <t>N =</t>
  </si>
  <si>
    <t>mol/kg</t>
  </si>
  <si>
    <t>kg/s</t>
  </si>
  <si>
    <t>W =</t>
  </si>
  <si>
    <t>MW</t>
  </si>
  <si>
    <t>k=1</t>
  </si>
  <si>
    <t>Reactor kritiek:</t>
  </si>
  <si>
    <t>Opstarten: Licht superkritiek</t>
  </si>
  <si>
    <t>n afremmen tot thermische neutronen duurt</t>
  </si>
  <si>
    <t>Enkele minuten vertraagd vrijgekomen fractie</t>
  </si>
  <si>
    <t>0,9936k &lt; 1 dus k &lt; 1,0064</t>
  </si>
  <si>
    <t>dan wordt toename van aantal n bepaald door vertraagd vrijkomende n</t>
  </si>
  <si>
    <t>Fast: blz 130 e.v.</t>
  </si>
  <si>
    <t>Binnen 1e-12 s vrijgekomen fractie prompte neutronen</t>
  </si>
  <si>
    <t>MeV</t>
  </si>
  <si>
    <t>per splijting ontstaan gemiddeld 2,44 n</t>
  </si>
  <si>
    <t>Totaal</t>
  </si>
  <si>
    <t>Controle_kamer</t>
  </si>
  <si>
    <t>Theorie</t>
  </si>
  <si>
    <t>Cd staven afstand</t>
  </si>
  <si>
    <t>n(t) = k1^(dt/T1) + k2^(dt/T2) =</t>
  </si>
  <si>
    <t>dt =</t>
  </si>
  <si>
    <t>E = 204 MeV =</t>
  </si>
  <si>
    <t>Afremmen tot therm. n</t>
  </si>
  <si>
    <t>Koeling</t>
  </si>
  <si>
    <t>Jkg-1K-1</t>
  </si>
  <si>
    <t>°C</t>
  </si>
  <si>
    <t>Treactorwater =</t>
  </si>
  <si>
    <t>Pafvoer (min(0,7Pcentrale);Pmax)</t>
  </si>
  <si>
    <t>c</t>
  </si>
  <si>
    <t>m water in reactor</t>
  </si>
  <si>
    <t>bar</t>
  </si>
  <si>
    <t>R=</t>
  </si>
  <si>
    <t>K</t>
  </si>
  <si>
    <t>Overgangswarmte L =</t>
  </si>
  <si>
    <t>J/mol</t>
  </si>
  <si>
    <t>Ontwerp centrale:</t>
  </si>
  <si>
    <t xml:space="preserve">p = </t>
  </si>
  <si>
    <t>T reactorwater =</t>
  </si>
  <si>
    <t>staafdikte =</t>
  </si>
  <si>
    <t>Staaf lengte =</t>
  </si>
  <si>
    <t>k = k1(prompt) + k2(vertraagd)</t>
  </si>
  <si>
    <t xml:space="preserve">k1 = </t>
  </si>
  <si>
    <t>T1 =</t>
  </si>
  <si>
    <t>k2 =</t>
  </si>
  <si>
    <t>T2 =</t>
  </si>
  <si>
    <t>n(t) =( 0,9936*k)^(dt/T1) + (0,0054*k)^(dt/T2) =</t>
  </si>
  <si>
    <t>Splijtingen per sec =</t>
  </si>
  <si>
    <t>Preactor =</t>
  </si>
  <si>
    <t>rendement =</t>
  </si>
  <si>
    <t>/s</t>
  </si>
  <si>
    <t>P(t)</t>
  </si>
  <si>
    <t xml:space="preserve">x0 = </t>
  </si>
  <si>
    <t>y0 =</t>
  </si>
  <si>
    <t>l=</t>
  </si>
  <si>
    <t>r =</t>
  </si>
  <si>
    <t>BWR: stoom 69 bar/ 286 °C</t>
  </si>
  <si>
    <t>k</t>
  </si>
  <si>
    <t>k1</t>
  </si>
  <si>
    <t>k2</t>
  </si>
  <si>
    <t>Pomphuis</t>
  </si>
  <si>
    <t>Turbinehuis</t>
  </si>
  <si>
    <t>lengte =</t>
  </si>
  <si>
    <t>Linkerhoogte =</t>
  </si>
  <si>
    <t>Rechterhoogte =</t>
  </si>
  <si>
    <t>pijp 1 reactor naar turbine</t>
  </si>
  <si>
    <t>pijp 2 turbine naar condensor</t>
  </si>
  <si>
    <t>pijp 3 condensor naar pomp</t>
  </si>
  <si>
    <t>b =</t>
  </si>
  <si>
    <t>h =</t>
  </si>
  <si>
    <t>Bladen pomp 1 1</t>
  </si>
  <si>
    <t>pijp 4 pomp reactor</t>
  </si>
  <si>
    <t>l =</t>
  </si>
  <si>
    <t>as turbine/generator</t>
  </si>
  <si>
    <r>
      <t>w</t>
    </r>
    <r>
      <rPr>
        <sz val="12"/>
        <rFont val="Times New Roman"/>
        <family val="1"/>
      </rPr>
      <t xml:space="preserve"> =</t>
    </r>
  </si>
  <si>
    <t>Dx =</t>
  </si>
  <si>
    <r>
      <t>f</t>
    </r>
    <r>
      <rPr>
        <sz val="12"/>
        <rFont val="Times New Roman"/>
        <family val="1"/>
      </rPr>
      <t xml:space="preserve"> =</t>
    </r>
  </si>
  <si>
    <t>r</t>
  </si>
  <si>
    <r>
      <t>f</t>
    </r>
    <r>
      <rPr>
        <sz val="12"/>
        <rFont val="Times New Roman"/>
        <family val="1"/>
      </rPr>
      <t>0</t>
    </r>
  </si>
  <si>
    <t>turbinebladen</t>
  </si>
  <si>
    <t>generatorhuis</t>
  </si>
  <si>
    <t>anker</t>
  </si>
  <si>
    <t>b=</t>
  </si>
  <si>
    <t>h=</t>
  </si>
  <si>
    <t>magneet N</t>
  </si>
  <si>
    <t>magneet Z</t>
  </si>
  <si>
    <t>water condensor</t>
  </si>
  <si>
    <t>dy =</t>
  </si>
  <si>
    <t>n =</t>
  </si>
  <si>
    <t>Mx=</t>
  </si>
  <si>
    <t>My=</t>
  </si>
  <si>
    <t>r=</t>
  </si>
  <si>
    <t>df=</t>
  </si>
  <si>
    <t>dr=</t>
  </si>
  <si>
    <t>Ontbreekt nog:</t>
  </si>
  <si>
    <t>Pe =</t>
  </si>
  <si>
    <t>Preactor - Pkoeling-Pe =</t>
  </si>
  <si>
    <t>Bovenste koepel</t>
  </si>
  <si>
    <t>Onderste koepel</t>
  </si>
  <si>
    <t>water onderste koepel</t>
  </si>
  <si>
    <t>a=</t>
  </si>
  <si>
    <t>s(t)=</t>
  </si>
  <si>
    <r>
      <t>P</t>
    </r>
    <r>
      <rPr>
        <b/>
        <vertAlign val="subscript"/>
        <sz val="12"/>
        <color indexed="48"/>
        <rFont val="Times New Roman"/>
        <family val="1"/>
      </rPr>
      <t>generator</t>
    </r>
    <r>
      <rPr>
        <b/>
        <sz val="12"/>
        <color indexed="48"/>
        <rFont val="Times New Roman"/>
        <family val="1"/>
      </rPr>
      <t xml:space="preserve"> =</t>
    </r>
  </si>
  <si>
    <r>
      <t>P</t>
    </r>
    <r>
      <rPr>
        <b/>
        <vertAlign val="subscript"/>
        <sz val="12"/>
        <color indexed="48"/>
        <rFont val="Times New Roman"/>
        <family val="1"/>
      </rPr>
      <t>reactor</t>
    </r>
    <r>
      <rPr>
        <b/>
        <sz val="12"/>
        <color indexed="48"/>
        <rFont val="Times New Roman"/>
        <family val="1"/>
      </rPr>
      <t xml:space="preserve"> =</t>
    </r>
  </si>
  <si>
    <r>
      <t>T</t>
    </r>
    <r>
      <rPr>
        <b/>
        <vertAlign val="subscript"/>
        <sz val="12"/>
        <color indexed="48"/>
        <rFont val="Times New Roman"/>
        <family val="1"/>
      </rPr>
      <t>reactorwater</t>
    </r>
    <r>
      <rPr>
        <b/>
        <sz val="12"/>
        <color indexed="48"/>
        <rFont val="Times New Roman"/>
        <family val="1"/>
      </rPr>
      <t xml:space="preserve"> =</t>
    </r>
  </si>
  <si>
    <t>Tijdvertragingsfactor =</t>
  </si>
  <si>
    <t>Explosie als p&gt;500</t>
  </si>
  <si>
    <r>
      <t>P</t>
    </r>
    <r>
      <rPr>
        <b/>
        <vertAlign val="subscript"/>
        <sz val="12"/>
        <color indexed="48"/>
        <rFont val="Times New Roman"/>
        <family val="1"/>
      </rPr>
      <t>warmte</t>
    </r>
    <r>
      <rPr>
        <b/>
        <sz val="12"/>
        <color indexed="48"/>
        <rFont val="Times New Roman"/>
        <family val="1"/>
      </rPr>
      <t xml:space="preserve"> =</t>
    </r>
  </si>
  <si>
    <t>Preactor max.=</t>
  </si>
  <si>
    <t>p</t>
  </si>
  <si>
    <t>ln(p)</t>
  </si>
  <si>
    <t>1/T</t>
  </si>
  <si>
    <t>-L/R=</t>
  </si>
  <si>
    <t>ptotaal =1 + 4,895.10^10*exp(-L/RT)</t>
  </si>
  <si>
    <t>p in Pa</t>
  </si>
  <si>
    <t>T in K</t>
  </si>
  <si>
    <t>T in °C</t>
  </si>
  <si>
    <t>p = 10^24,614exp(-4911,1/T)</t>
  </si>
  <si>
    <t>pa</t>
  </si>
  <si>
    <r>
      <t>P</t>
    </r>
    <r>
      <rPr>
        <b/>
        <vertAlign val="subscript"/>
        <sz val="12"/>
        <color indexed="48"/>
        <rFont val="Times New Roman"/>
        <family val="1"/>
      </rPr>
      <t>koeling</t>
    </r>
    <r>
      <rPr>
        <b/>
        <sz val="12"/>
        <color indexed="48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&lt; 3.000MW</t>
    </r>
    <r>
      <rPr>
        <b/>
        <sz val="12"/>
        <color indexed="48"/>
        <rFont val="Times New Roman"/>
        <family val="1"/>
      </rPr>
      <t>) =</t>
    </r>
  </si>
  <si>
    <r>
      <t>druk (</t>
    </r>
    <r>
      <rPr>
        <b/>
        <sz val="12"/>
        <color indexed="10"/>
        <rFont val="Times New Roman"/>
        <family val="1"/>
      </rPr>
      <t>&lt; 300 bar</t>
    </r>
    <r>
      <rPr>
        <b/>
        <sz val="12"/>
        <color indexed="48"/>
        <rFont val="Times New Roman"/>
        <family val="1"/>
      </rPr>
      <t>) =</t>
    </r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</si>
</sst>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name val="Symbol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/>
      <protection hidden="1" locked="0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0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1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1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8" xfId="0" applyNumberFormat="1" applyFont="1" applyFill="1" applyBorder="1" applyAlignment="1" applyProtection="1">
      <alignment horizontal="right"/>
      <protection hidden="1" locked="0"/>
    </xf>
    <xf numFmtId="2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1" fillId="2" borderId="0" xfId="0" applyFont="1" applyFill="1" applyAlignment="1">
      <alignment/>
    </xf>
    <xf numFmtId="170" fontId="1" fillId="2" borderId="6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3" fontId="5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2" fontId="2" fillId="2" borderId="9" xfId="0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>
      <alignment/>
    </xf>
    <xf numFmtId="1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1" fillId="2" borderId="3" xfId="0" applyFont="1" applyFill="1" applyBorder="1" applyAlignment="1">
      <alignment/>
    </xf>
    <xf numFmtId="11" fontId="3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/>
    </xf>
    <xf numFmtId="0" fontId="3" fillId="2" borderId="1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1" fontId="1" fillId="2" borderId="0" xfId="0" applyNumberFormat="1" applyFont="1" applyFill="1" applyAlignment="1">
      <alignment horizontal="left"/>
    </xf>
    <xf numFmtId="11" fontId="1" fillId="2" borderId="0" xfId="0" applyNumberFormat="1" applyFont="1" applyFill="1" applyAlignment="1">
      <alignment/>
    </xf>
    <xf numFmtId="11" fontId="1" fillId="2" borderId="7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0" fontId="32" fillId="3" borderId="8" xfId="0" applyFont="1" applyFill="1" applyBorder="1" applyAlignment="1">
      <alignment/>
    </xf>
    <xf numFmtId="1" fontId="32" fillId="3" borderId="8" xfId="0" applyNumberFormat="1" applyFont="1" applyFill="1" applyBorder="1" applyAlignment="1" applyProtection="1">
      <alignment horizontal="right"/>
      <protection hidden="1"/>
    </xf>
    <xf numFmtId="170" fontId="1" fillId="2" borderId="5" xfId="0" applyNumberFormat="1" applyFont="1" applyFill="1" applyBorder="1" applyAlignment="1">
      <alignment/>
    </xf>
    <xf numFmtId="170" fontId="1" fillId="2" borderId="4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1" fontId="0" fillId="0" borderId="0" xfId="0" applyNumberFormat="1" applyAlignment="1">
      <alignment/>
    </xf>
    <xf numFmtId="3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2" borderId="3" xfId="0" applyNumberFormat="1" applyFont="1" applyFill="1" applyBorder="1" applyAlignment="1" applyProtection="1">
      <alignment/>
      <protection locked="0"/>
    </xf>
    <xf numFmtId="11" fontId="1" fillId="2" borderId="13" xfId="0" applyNumberFormat="1" applyFont="1" applyFill="1" applyBorder="1" applyAlignment="1">
      <alignment/>
    </xf>
    <xf numFmtId="0" fontId="2" fillId="2" borderId="8" xfId="0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70" fontId="1" fillId="2" borderId="6" xfId="0" applyNumberFormat="1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0" fontId="1" fillId="2" borderId="12" xfId="0" applyNumberFormat="1" applyFont="1" applyFill="1" applyBorder="1" applyAlignment="1">
      <alignment/>
    </xf>
    <xf numFmtId="172" fontId="3" fillId="2" borderId="0" xfId="0" applyNumberFormat="1" applyFont="1" applyFill="1" applyAlignment="1">
      <alignment/>
    </xf>
    <xf numFmtId="172" fontId="2" fillId="2" borderId="8" xfId="0" applyNumberFormat="1" applyFont="1" applyFill="1" applyBorder="1" applyAlignment="1" applyProtection="1">
      <alignment horizontal="right"/>
      <protection hidden="1" locked="0"/>
    </xf>
    <xf numFmtId="0" fontId="3" fillId="2" borderId="1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1" fontId="3" fillId="2" borderId="15" xfId="0" applyNumberFormat="1" applyFont="1" applyFill="1" applyBorder="1" applyAlignment="1">
      <alignment/>
    </xf>
    <xf numFmtId="0" fontId="3" fillId="2" borderId="13" xfId="0" applyFont="1" applyFill="1" applyBorder="1" applyAlignment="1" quotePrefix="1">
      <alignment/>
    </xf>
    <xf numFmtId="1" fontId="1" fillId="2" borderId="0" xfId="0" applyNumberFormat="1" applyFont="1" applyFill="1" applyAlignment="1">
      <alignment/>
    </xf>
    <xf numFmtId="170" fontId="2" fillId="2" borderId="6" xfId="0" applyNumberFormat="1" applyFont="1" applyFill="1" applyBorder="1" applyAlignment="1">
      <alignment horizontal="left"/>
    </xf>
    <xf numFmtId="173" fontId="1" fillId="2" borderId="7" xfId="0" applyNumberFormat="1" applyFont="1" applyFill="1" applyBorder="1" applyAlignment="1">
      <alignment horizontal="left"/>
    </xf>
    <xf numFmtId="173" fontId="2" fillId="2" borderId="7" xfId="0" applyNumberFormat="1" applyFont="1" applyFill="1" applyBorder="1" applyAlignment="1">
      <alignment horizontal="left"/>
    </xf>
    <xf numFmtId="173" fontId="1" fillId="2" borderId="13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170" fontId="2" fillId="2" borderId="0" xfId="0" applyNumberFormat="1" applyFont="1" applyFill="1" applyBorder="1" applyAlignment="1" applyProtection="1">
      <alignment horizontal="right"/>
      <protection hidden="1" locked="0"/>
    </xf>
    <xf numFmtId="172" fontId="1" fillId="2" borderId="0" xfId="0" applyNumberFormat="1" applyFont="1" applyFill="1" applyAlignment="1">
      <alignment horizontal="left"/>
    </xf>
    <xf numFmtId="171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2" borderId="13" xfId="0" applyNumberFormat="1" applyFont="1" applyFill="1" applyBorder="1" applyAlignment="1">
      <alignment horizontal="left"/>
    </xf>
    <xf numFmtId="170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 horizontal="left"/>
    </xf>
    <xf numFmtId="173" fontId="2" fillId="2" borderId="6" xfId="0" applyNumberFormat="1" applyFont="1" applyFill="1" applyBorder="1" applyAlignment="1">
      <alignment horizontal="left"/>
    </xf>
    <xf numFmtId="173" fontId="1" fillId="2" borderId="12" xfId="0" applyNumberFormat="1" applyFont="1" applyFill="1" applyBorder="1" applyAlignment="1">
      <alignment horizontal="left"/>
    </xf>
    <xf numFmtId="173" fontId="1" fillId="2" borderId="0" xfId="0" applyNumberFormat="1" applyFont="1" applyFill="1" applyBorder="1" applyAlignment="1">
      <alignment horizontal="left"/>
    </xf>
    <xf numFmtId="173" fontId="1" fillId="2" borderId="15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left"/>
    </xf>
    <xf numFmtId="0" fontId="21" fillId="2" borderId="6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173" fontId="2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left"/>
    </xf>
    <xf numFmtId="170" fontId="1" fillId="2" borderId="15" xfId="0" applyNumberFormat="1" applyFont="1" applyFill="1" applyBorder="1" applyAlignment="1">
      <alignment horizontal="left"/>
    </xf>
    <xf numFmtId="0" fontId="3" fillId="2" borderId="0" xfId="0" applyFont="1" applyFill="1" applyAlignment="1" applyProtection="1">
      <alignment/>
      <protection locked="0"/>
    </xf>
    <xf numFmtId="170" fontId="3" fillId="2" borderId="6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  <protection/>
    </xf>
    <xf numFmtId="18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7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181" fontId="1" fillId="2" borderId="0" xfId="0" applyNumberFormat="1" applyFont="1" applyFill="1" applyAlignment="1">
      <alignment/>
    </xf>
    <xf numFmtId="182" fontId="1" fillId="2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82" fontId="4" fillId="2" borderId="0" xfId="0" applyNumberFormat="1" applyFont="1" applyFill="1" applyBorder="1" applyAlignment="1">
      <alignment/>
    </xf>
    <xf numFmtId="2" fontId="26" fillId="4" borderId="16" xfId="0" applyNumberFormat="1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18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3" fontId="5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98"/>
        </c:manualLayout>
      </c:layout>
      <c:scatterChart>
        <c:scatterStyle val="smooth"/>
        <c:varyColors val="0"/>
        <c:ser>
          <c:idx val="37"/>
          <c:order val="0"/>
          <c:tx>
            <c:v>N pool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kerncentrale!$AJ$74:$AJ$78</c:f>
              <c:numCache/>
            </c:numRef>
          </c:xVal>
          <c:yVal>
            <c:numRef>
              <c:f>kerncentrale!$AK$74:$AK$78</c:f>
              <c:numCache/>
            </c:numRef>
          </c:yVal>
          <c:smooth val="1"/>
        </c:ser>
        <c:ser>
          <c:idx val="38"/>
          <c:order val="1"/>
          <c:tx>
            <c:v>Z-pool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kerncentrale!$AJ$80:$AJ$84</c:f>
              <c:numCache/>
            </c:numRef>
          </c:xVal>
          <c:yVal>
            <c:numRef>
              <c:f>kerncentrale!$AK$80:$AK$84</c:f>
              <c:numCache/>
            </c:numRef>
          </c:yVal>
          <c:smooth val="1"/>
        </c:ser>
        <c:ser>
          <c:idx val="14"/>
          <c:order val="2"/>
          <c:tx>
            <c:v>water onderste koepel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kerncentrale!$U$228:$U$313</c:f>
              <c:numCache/>
            </c:numRef>
          </c:xVal>
          <c:yVal>
            <c:numRef>
              <c:f>kerncentrale!$V$228:$V$313</c:f>
              <c:numCache/>
            </c:numRef>
          </c:yVal>
          <c:smooth val="1"/>
        </c:ser>
        <c:ser>
          <c:idx val="13"/>
          <c:order val="3"/>
          <c:tx>
            <c:v>water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kerncentrale!$U$77:$U$226</c:f>
              <c:numCache/>
            </c:numRef>
          </c:xVal>
          <c:yVal>
            <c:numRef>
              <c:f>kerncentrale!$V$77:$V$226</c:f>
              <c:numCache/>
            </c:numRef>
          </c:yVal>
          <c:smooth val="1"/>
        </c:ser>
        <c:ser>
          <c:idx val="2"/>
          <c:order val="4"/>
          <c:tx>
            <c:v>U-staaf 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kerncentrale!$U$38:$U$39</c:f>
              <c:numCache/>
            </c:numRef>
          </c:xVal>
          <c:yVal>
            <c:numRef>
              <c:f>kerncentrale!$V$38:$V$39</c:f>
              <c:numCache/>
            </c:numRef>
          </c:yVal>
          <c:smooth val="1"/>
        </c:ser>
        <c:ser>
          <c:idx val="3"/>
          <c:order val="5"/>
          <c:tx>
            <c:v>u staaf -2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kerncentrale!$U$34:$U$35</c:f>
              <c:numCache/>
            </c:numRef>
          </c:xVal>
          <c:yVal>
            <c:numRef>
              <c:f>kerncentrale!$V$34:$V$35</c:f>
              <c:numCache/>
            </c:numRef>
          </c:yVal>
          <c:smooth val="1"/>
        </c:ser>
        <c:ser>
          <c:idx val="4"/>
          <c:order val="6"/>
          <c:tx>
            <c:v>u staaf -1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kerncentrale!$U$36:$U$37</c:f>
              <c:numCache/>
            </c:numRef>
          </c:xVal>
          <c:yVal>
            <c:numRef>
              <c:f>kerncentrale!$V$36:$V$37</c:f>
              <c:numCache/>
            </c:numRef>
          </c:yVal>
          <c:smooth val="1"/>
        </c:ser>
        <c:ser>
          <c:idx val="5"/>
          <c:order val="7"/>
          <c:tx>
            <c:v>u staaf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kerncentrale!$U$40:$U$41</c:f>
              <c:numCache/>
            </c:numRef>
          </c:xVal>
          <c:yVal>
            <c:numRef>
              <c:f>kerncentrale!$V$40:$V$41</c:f>
              <c:numCache/>
            </c:numRef>
          </c:yVal>
          <c:smooth val="1"/>
        </c:ser>
        <c:ser>
          <c:idx val="6"/>
          <c:order val="8"/>
          <c:tx>
            <c:v>u staaf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kerncentrale!$U$42:$U$43</c:f>
              <c:numCache/>
            </c:numRef>
          </c:xVal>
          <c:yVal>
            <c:numRef>
              <c:f>kerncentrale!$V$42:$V$43</c:f>
              <c:numCache/>
            </c:numRef>
          </c:yVal>
          <c:smooth val="1"/>
        </c:ser>
        <c:ser>
          <c:idx val="7"/>
          <c:order val="9"/>
          <c:tx>
            <c:v>Cd -2,5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kerncentrale!$U$50:$U$54</c:f>
              <c:numCache/>
            </c:numRef>
          </c:xVal>
          <c:yVal>
            <c:numRef>
              <c:f>kerncentrale!$V$50:$V$54</c:f>
              <c:numCache/>
            </c:numRef>
          </c:yVal>
          <c:smooth val="1"/>
        </c:ser>
        <c:ser>
          <c:idx val="8"/>
          <c:order val="10"/>
          <c:tx>
            <c:v>Cd -1,5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kerncentrale!$U$55:$U$56</c:f>
              <c:numCache/>
            </c:numRef>
          </c:xVal>
          <c:yVal>
            <c:numRef>
              <c:f>kerncentrale!$V$55:$V$56</c:f>
              <c:numCache/>
            </c:numRef>
          </c:yVal>
          <c:smooth val="1"/>
        </c:ser>
        <c:ser>
          <c:idx val="9"/>
          <c:order val="11"/>
          <c:tx>
            <c:v>Cd 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kerncentrale!$U$59:$U$60</c:f>
              <c:numCache/>
            </c:numRef>
          </c:xVal>
          <c:yVal>
            <c:numRef>
              <c:f>kerncentrale!$V$59:$V$60</c:f>
              <c:numCache/>
            </c:numRef>
          </c:yVal>
          <c:smooth val="1"/>
        </c:ser>
        <c:ser>
          <c:idx val="10"/>
          <c:order val="12"/>
          <c:tx>
            <c:v>Cd 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kerncentrale!$U$61:$U$62</c:f>
              <c:numCache/>
            </c:numRef>
          </c:xVal>
          <c:yVal>
            <c:numRef>
              <c:f>kerncentrale!$V$61:$V$62</c:f>
              <c:numCache/>
            </c:numRef>
          </c:yVal>
          <c:smooth val="1"/>
        </c:ser>
        <c:ser>
          <c:idx val="11"/>
          <c:order val="13"/>
          <c:tx>
            <c:v>Cd 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kerncentrale!$U$63:$U$64</c:f>
              <c:numCache/>
            </c:numRef>
          </c:xVal>
          <c:yVal>
            <c:numRef>
              <c:f>kerncentrale!$V$63:$V$64</c:f>
              <c:numCache/>
            </c:numRef>
          </c:yVal>
          <c:smooth val="1"/>
        </c:ser>
        <c:ser>
          <c:idx val="12"/>
          <c:order val="14"/>
          <c:tx>
            <c:v>Cd -0,5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kerncentrale!$U$57:$U$58</c:f>
              <c:numCache/>
            </c:numRef>
          </c:xVal>
          <c:yVal>
            <c:numRef>
              <c:f>kerncentrale!$V$57:$V$58</c:f>
              <c:numCache/>
            </c:numRef>
          </c:yVal>
          <c:smooth val="1"/>
        </c:ser>
        <c:ser>
          <c:idx val="39"/>
          <c:order val="15"/>
          <c:tx>
            <c:v>water condensor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kerncentrale!$AJ$90:$AJ$129</c:f>
              <c:numCache/>
            </c:numRef>
          </c:xVal>
          <c:yVal>
            <c:numRef>
              <c:f>kerncentrale!$AK$90:$AK$129</c:f>
              <c:numCache/>
            </c:numRef>
          </c:yVal>
          <c:smooth val="1"/>
        </c:ser>
        <c:ser>
          <c:idx val="15"/>
          <c:order val="16"/>
          <c:tx>
            <c:v>pomp 1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kerncentrale!$AF$21:$AF$22</c:f>
              <c:numCache/>
            </c:numRef>
          </c:xVal>
          <c:yVal>
            <c:numRef>
              <c:f>kerncentrale!$AG$21:$AG$22</c:f>
              <c:numCache/>
            </c:numRef>
          </c:yVal>
          <c:smooth val="1"/>
        </c:ser>
        <c:ser>
          <c:idx val="16"/>
          <c:order val="17"/>
          <c:tx>
            <c:v>pomp 1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kerncentrale!$AF$23:$AF$24</c:f>
              <c:numCache/>
            </c:numRef>
          </c:xVal>
          <c:yVal>
            <c:numRef>
              <c:f>kerncentrale!$AG$23:$AG$24</c:f>
              <c:numCache/>
            </c:numRef>
          </c:yVal>
          <c:smooth val="1"/>
        </c:ser>
        <c:ser>
          <c:idx val="20"/>
          <c:order val="18"/>
          <c:tx>
            <c:v>pijp 2 links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kerncentrale!$AH$35:$AH$36</c:f>
              <c:numCache/>
            </c:numRef>
          </c:xVal>
          <c:yVal>
            <c:numRef>
              <c:f>kerncentrale!$AI$35:$AI$36</c:f>
              <c:numCache/>
            </c:numRef>
          </c:yVal>
          <c:smooth val="1"/>
        </c:ser>
        <c:ser>
          <c:idx val="19"/>
          <c:order val="19"/>
          <c:tx>
            <c:v>pijp 1 midden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kerncentrale!$AH$23:$AH$24</c:f>
              <c:numCache/>
            </c:numRef>
          </c:xVal>
          <c:yVal>
            <c:numRef>
              <c:f>kerncentrale!$AI$23:$AI$24</c:f>
              <c:numCache/>
            </c:numRef>
          </c:yVal>
          <c:smooth val="1"/>
        </c:ser>
        <c:ser>
          <c:idx val="17"/>
          <c:order val="20"/>
          <c:tx>
            <c:v>pijp 1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kerncentrale!$AH$21:$AH$22</c:f>
              <c:numCache/>
            </c:numRef>
          </c:xVal>
          <c:yVal>
            <c:numRef>
              <c:f>kerncentrale!$AI$21:$AI$22</c:f>
              <c:numCache/>
            </c:numRef>
          </c:yVal>
          <c:smooth val="1"/>
        </c:ser>
        <c:ser>
          <c:idx val="18"/>
          <c:order val="21"/>
          <c:tx>
            <c:v>pijp 1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kerncentrale!$AH$25:$AH$26</c:f>
              <c:numCache/>
            </c:numRef>
          </c:xVal>
          <c:yVal>
            <c:numRef>
              <c:f>kerncentrale!$AI$25:$AI$26</c:f>
              <c:numCache/>
            </c:numRef>
          </c:yVal>
          <c:smooth val="1"/>
        </c:ser>
        <c:ser>
          <c:idx val="0"/>
          <c:order val="22"/>
          <c:tx>
            <c:v>pijp 2 midden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kerncentrale!$AH$33:$AH$34</c:f>
              <c:numCache/>
            </c:numRef>
          </c:xVal>
          <c:yVal>
            <c:numRef>
              <c:f>kerncentrale!$AI$33:$AI$34</c:f>
              <c:numCache/>
            </c:numRef>
          </c:yVal>
          <c:smooth val="1"/>
        </c:ser>
        <c:ser>
          <c:idx val="1"/>
          <c:order val="23"/>
          <c:tx>
            <c:v>pijp 2 rechtsr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kerncentrale!$AH$31:$AH$32</c:f>
              <c:numCache/>
            </c:numRef>
          </c:xVal>
          <c:yVal>
            <c:numRef>
              <c:f>kerncentrale!$AI$31:$AI$32</c:f>
              <c:numCache/>
            </c:numRef>
          </c:yVal>
          <c:smooth val="1"/>
        </c:ser>
        <c:ser>
          <c:idx val="21"/>
          <c:order val="24"/>
          <c:tx>
            <c:v>pomphuis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kerncentrale!$AF$28:$AF$38</c:f>
              <c:numCache/>
            </c:numRef>
          </c:xVal>
          <c:yVal>
            <c:numRef>
              <c:f>kerncentrale!$AG$28:$AG$38</c:f>
              <c:numCache/>
            </c:numRef>
          </c:yVal>
          <c:smooth val="1"/>
        </c:ser>
        <c:ser>
          <c:idx val="22"/>
          <c:order val="25"/>
          <c:tx>
            <c:v>turbinehuis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kerncentrale!$AJ$22:$AJ$26</c:f>
              <c:numCache/>
            </c:numRef>
          </c:xVal>
          <c:yVal>
            <c:numRef>
              <c:f>kerncentrale!$AK$22:$AK$26</c:f>
              <c:numCache/>
            </c:numRef>
          </c:yVal>
          <c:smooth val="1"/>
        </c:ser>
        <c:ser>
          <c:idx val="23"/>
          <c:order val="26"/>
          <c:tx>
            <c:v>condensor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kerncentrale!$AJ$31:$AJ$35</c:f>
              <c:numCache/>
            </c:numRef>
          </c:xVal>
          <c:yVal>
            <c:numRef>
              <c:f>kerncentrale!$AK$31:$AK$35</c:f>
              <c:numCache/>
            </c:numRef>
          </c:yVal>
          <c:smooth val="1"/>
        </c:ser>
        <c:ser>
          <c:idx val="24"/>
          <c:order val="27"/>
          <c:tx>
            <c:v>pijp 4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kerncentrale!$AH$51:$AH$52</c:f>
              <c:numCache/>
            </c:numRef>
          </c:xVal>
          <c:yVal>
            <c:numRef>
              <c:f>kerncentrale!$AI$51:$AI$52</c:f>
              <c:numCache/>
            </c:numRef>
          </c:yVal>
          <c:smooth val="1"/>
        </c:ser>
        <c:ser>
          <c:idx val="25"/>
          <c:order val="28"/>
          <c:tx>
            <c:v>pijp 4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kerncentrale!$AH$53:$AH$54</c:f>
              <c:numCache/>
            </c:numRef>
          </c:xVal>
          <c:yVal>
            <c:numRef>
              <c:f>kerncentrale!$AI$53:$AI$54</c:f>
              <c:numCache/>
            </c:numRef>
          </c:yVal>
          <c:smooth val="1"/>
        </c:ser>
        <c:ser>
          <c:idx val="26"/>
          <c:order val="29"/>
          <c:tx>
            <c:v>pijp 4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kerncentrale!$AH$55:$AH$56</c:f>
              <c:numCache/>
            </c:numRef>
          </c:xVal>
          <c:yVal>
            <c:numRef>
              <c:f>kerncentrale!$AI$55:$AI$56</c:f>
              <c:numCache/>
            </c:numRef>
          </c:yVal>
          <c:smooth val="1"/>
        </c:ser>
        <c:ser>
          <c:idx val="27"/>
          <c:order val="30"/>
          <c:tx>
            <c:v>pijp 3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kerncentrale!$AH$41:$AH$42</c:f>
              <c:numCache/>
            </c:numRef>
          </c:xVal>
          <c:yVal>
            <c:numRef>
              <c:f>kerncentrale!$AI$41:$AI$42</c:f>
              <c:numCache/>
            </c:numRef>
          </c:yVal>
          <c:smooth val="1"/>
        </c:ser>
        <c:ser>
          <c:idx val="28"/>
          <c:order val="31"/>
          <c:tx>
            <c:v>pijp 3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kerncentrale!$AH$43:$AH$44</c:f>
              <c:numCache/>
            </c:numRef>
          </c:xVal>
          <c:yVal>
            <c:numRef>
              <c:f>kerncentrale!$AI$43:$AI$44</c:f>
              <c:numCache/>
            </c:numRef>
          </c:yVal>
          <c:smooth val="1"/>
        </c:ser>
        <c:ser>
          <c:idx val="29"/>
          <c:order val="32"/>
          <c:tx>
            <c:v>pijp 3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kerncentrale!$AH$45:$AH$46</c:f>
              <c:numCache/>
            </c:numRef>
          </c:xVal>
          <c:yVal>
            <c:numRef>
              <c:f>kerncentrale!$AI$45:$AI$46</c:f>
              <c:numCache/>
            </c:numRef>
          </c:yVal>
          <c:smooth val="1"/>
        </c:ser>
        <c:ser>
          <c:idx val="30"/>
          <c:order val="33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kerncentrale!$AJ$39:$AJ$40</c:f>
              <c:numCache/>
            </c:numRef>
          </c:xVal>
          <c:yVal>
            <c:numRef>
              <c:f>kerncentrale!$AK$39:$AK$40</c:f>
              <c:numCache/>
            </c:numRef>
          </c:yVal>
          <c:smooth val="1"/>
        </c:ser>
        <c:ser>
          <c:idx val="31"/>
          <c:order val="34"/>
          <c:tx>
            <c:v>turb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kerncentrale!$AJ$46:$AJ$47</c:f>
              <c:numCache/>
            </c:numRef>
          </c:xVal>
          <c:yVal>
            <c:numRef>
              <c:f>kerncentrale!$AK$46:$AK$47</c:f>
              <c:numCache/>
            </c:numRef>
          </c:yVal>
          <c:smooth val="1"/>
        </c:ser>
        <c:ser>
          <c:idx val="32"/>
          <c:order val="35"/>
          <c:tx>
            <c:v>turb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kerncentrale!$AJ$48:$AJ$49</c:f>
              <c:numCache/>
            </c:numRef>
          </c:xVal>
          <c:yVal>
            <c:numRef>
              <c:f>kerncentrale!$AK$48:$AK$49</c:f>
              <c:numCache/>
            </c:numRef>
          </c:yVal>
          <c:smooth val="1"/>
        </c:ser>
        <c:ser>
          <c:idx val="33"/>
          <c:order val="36"/>
          <c:tx>
            <c:v>turb blad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kerncentrale!$AJ$50:$AJ$51</c:f>
              <c:numCache/>
            </c:numRef>
          </c:xVal>
          <c:yVal>
            <c:numRef>
              <c:f>kerncentrale!$AK$50:$AK$51</c:f>
              <c:numCache/>
            </c:numRef>
          </c:yVal>
          <c:smooth val="1"/>
        </c:ser>
        <c:ser>
          <c:idx val="34"/>
          <c:order val="37"/>
          <c:tx>
            <c:v>turb blad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kerncentrale!$AJ$52:$AJ$53</c:f>
              <c:numCache/>
            </c:numRef>
          </c:xVal>
          <c:yVal>
            <c:numRef>
              <c:f>kerncentrale!$AK$52:$AK$53</c:f>
              <c:numCache/>
            </c:numRef>
          </c:yVal>
          <c:smooth val="1"/>
        </c:ser>
        <c:ser>
          <c:idx val="35"/>
          <c:order val="38"/>
          <c:tx>
            <c:v>generatorhuis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kerncentrale!$AJ$58:$AJ$62</c:f>
              <c:numCache/>
            </c:numRef>
          </c:xVal>
          <c:yVal>
            <c:numRef>
              <c:f>kerncentrale!$AK$58:$AK$62</c:f>
              <c:numCache/>
            </c:numRef>
          </c:yVal>
          <c:smooth val="1"/>
        </c:ser>
        <c:ser>
          <c:idx val="36"/>
          <c:order val="39"/>
          <c:tx>
            <c:v>anker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kerncentrale!$AJ$67:$AJ$71</c:f>
              <c:numCache/>
            </c:numRef>
          </c:xVal>
          <c:yVal>
            <c:numRef>
              <c:f>kerncentrale!$AK$67:$AK$71</c:f>
              <c:numCache/>
            </c:numRef>
          </c:yVal>
          <c:smooth val="1"/>
        </c:ser>
        <c:ser>
          <c:idx val="40"/>
          <c:order val="40"/>
          <c:tx>
            <c:v>koepel boven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kerncentrale!$X$71:$X$81</c:f>
              <c:numCache/>
            </c:numRef>
          </c:xVal>
          <c:yVal>
            <c:numRef>
              <c:f>kerncentrale!$Y$71:$Y$81</c:f>
              <c:numCache/>
            </c:numRef>
          </c:yVal>
          <c:smooth val="1"/>
        </c:ser>
        <c:ser>
          <c:idx val="41"/>
          <c:order val="41"/>
          <c:tx>
            <c:v>koepel onder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kerncentrale!$X$88:$X$98</c:f>
              <c:numCache/>
            </c:numRef>
          </c:xVal>
          <c:yVal>
            <c:numRef>
              <c:f>kerncentrale!$Y$88:$Y$98</c:f>
              <c:numCache/>
            </c:numRef>
          </c:yVal>
          <c:smooth val="1"/>
        </c:ser>
        <c:ser>
          <c:idx val="42"/>
          <c:order val="42"/>
          <c:tx>
            <c:v>reactorwand links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kerncentrale!$U$68:$U$69</c:f>
              <c:numCache/>
            </c:numRef>
          </c:xVal>
          <c:yVal>
            <c:numRef>
              <c:f>kerncentrale!$V$68:$V$69</c:f>
              <c:numCache/>
            </c:numRef>
          </c:yVal>
          <c:smooth val="1"/>
        </c:ser>
        <c:ser>
          <c:idx val="43"/>
          <c:order val="43"/>
          <c:tx>
            <c:v>reactorwand rechts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kerncentrale!$U$70:$U$71</c:f>
              <c:numCache/>
            </c:numRef>
          </c:xVal>
          <c:yVal>
            <c:numRef>
              <c:f>kerncentrale!$V$70:$V$71</c:f>
              <c:numCache/>
            </c:numRef>
          </c:yVal>
          <c:smooth val="1"/>
        </c:ser>
        <c:axId val="41246387"/>
        <c:axId val="2233820"/>
      </c:scatterChart>
      <c:valAx>
        <c:axId val="41246387"/>
        <c:scaling>
          <c:orientation val="minMax"/>
          <c:max val="13"/>
          <c:min val="-3"/>
        </c:scaling>
        <c:axPos val="b"/>
        <c:delete val="1"/>
        <c:majorTickMark val="out"/>
        <c:minorTickMark val="none"/>
        <c:tickLblPos val="nextTo"/>
        <c:crossAx val="2233820"/>
        <c:crosses val="autoZero"/>
        <c:crossBetween val="midCat"/>
        <c:dispUnits/>
        <c:majorUnit val="1"/>
        <c:minorUnit val="1"/>
      </c:valAx>
      <c:valAx>
        <c:axId val="2233820"/>
        <c:scaling>
          <c:orientation val="minMax"/>
          <c:max val="8"/>
          <c:min val="-3"/>
        </c:scaling>
        <c:axPos val="l"/>
        <c:delete val="1"/>
        <c:majorTickMark val="out"/>
        <c:minorTickMark val="none"/>
        <c:tickLblPos val="nextTo"/>
        <c:crossAx val="41246387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numFmt formatCode="0.0000E+00"/>
            </c:trendlineLbl>
          </c:trendline>
          <c:xVal>
            <c:numRef>
              <c:f>'Theorie-'!$E$32:$E$38</c:f>
              <c:numCache/>
            </c:numRef>
          </c:xVal>
          <c:yVal>
            <c:numRef>
              <c:f>'Theorie-'!$F$32:$F$38</c:f>
              <c:numCache/>
            </c:numRef>
          </c:yVal>
          <c:smooth val="0"/>
        </c:ser>
        <c:axId val="60218877"/>
        <c:axId val="9923926"/>
      </c:scatterChart>
      <c:valAx>
        <c:axId val="6021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9923926"/>
        <c:crosses val="autoZero"/>
        <c:crossBetween val="midCat"/>
        <c:dispUnits/>
      </c:valAx>
      <c:valAx>
        <c:axId val="9923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18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8792871"/>
        <c:axId val="30580912"/>
      </c:scatterChart>
      <c:valAx>
        <c:axId val="287928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0912"/>
        <c:crosses val="autoZero"/>
        <c:crossBetween val="midCat"/>
        <c:dispUnits/>
      </c:valAx>
      <c:valAx>
        <c:axId val="30580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2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5390385"/>
        <c:axId val="36264426"/>
      </c:scatterChart>
      <c:valAx>
        <c:axId val="6539038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64426"/>
        <c:crosses val="autoZero"/>
        <c:crossBetween val="midCat"/>
        <c:dispUnits/>
      </c:valAx>
      <c:valAx>
        <c:axId val="36264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90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3806363"/>
        <c:axId val="47063812"/>
      </c:scatterChart>
      <c:valAx>
        <c:axId val="53806363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063812"/>
        <c:crosses val="autoZero"/>
        <c:crossBetween val="midCat"/>
        <c:dispUnits/>
        <c:majorUnit val="1"/>
        <c:minorUnit val="0.5"/>
      </c:valAx>
      <c:valAx>
        <c:axId val="47063812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8063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152400</xdr:rowOff>
    </xdr:from>
    <xdr:to>
      <xdr:col>11</xdr:col>
      <xdr:colOff>400050</xdr:colOff>
      <xdr:row>43</xdr:row>
      <xdr:rowOff>95250</xdr:rowOff>
    </xdr:to>
    <xdr:graphicFrame>
      <xdr:nvGraphicFramePr>
        <xdr:cNvPr id="1" name="Chart 3"/>
        <xdr:cNvGraphicFramePr/>
      </xdr:nvGraphicFramePr>
      <xdr:xfrm>
        <a:off x="447675" y="2085975"/>
        <a:ext cx="8886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2581275</xdr:colOff>
      <xdr:row>29</xdr:row>
      <xdr:rowOff>161925</xdr:rowOff>
    </xdr:from>
    <xdr:to>
      <xdr:col>12</xdr:col>
      <xdr:colOff>3486150</xdr:colOff>
      <xdr:row>33</xdr:row>
      <xdr:rowOff>0</xdr:rowOff>
    </xdr:to>
    <xdr:sp>
      <xdr:nvSpPr>
        <xdr:cNvPr id="2" name="Rectangle 41"/>
        <xdr:cNvSpPr>
          <a:spLocks/>
        </xdr:cNvSpPr>
      </xdr:nvSpPr>
      <xdr:spPr>
        <a:xfrm>
          <a:off x="26755725" y="4695825"/>
          <a:ext cx="904875" cy="638175"/>
        </a:xfrm>
        <a:prstGeom prst="rect">
          <a:avLst/>
        </a:prstGeom>
        <a:pattFill prst="pct75">
          <a:fgClr>
            <a:srgbClr val="99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0</xdr:rowOff>
    </xdr:from>
    <xdr:to>
      <xdr:col>11</xdr:col>
      <xdr:colOff>428625</xdr:colOff>
      <xdr:row>15</xdr:row>
      <xdr:rowOff>19050</xdr:rowOff>
    </xdr:to>
    <xdr:grpSp>
      <xdr:nvGrpSpPr>
        <xdr:cNvPr id="3" name="Group 22"/>
        <xdr:cNvGrpSpPr>
          <a:grpSpLocks/>
        </xdr:cNvGrpSpPr>
      </xdr:nvGrpSpPr>
      <xdr:grpSpPr>
        <a:xfrm>
          <a:off x="7419975" y="1714500"/>
          <a:ext cx="1943100" cy="209550"/>
          <a:chOff x="794" y="131"/>
          <a:chExt cx="189" cy="23"/>
        </a:xfrm>
        <a:solidFill>
          <a:srgbClr val="FFFFFF"/>
        </a:solidFill>
      </xdr:grpSpPr>
      <xdr:pic>
        <xdr:nvPicPr>
          <xdr:cNvPr id="4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2543175</xdr:colOff>
      <xdr:row>28</xdr:row>
      <xdr:rowOff>0</xdr:rowOff>
    </xdr:from>
    <xdr:to>
      <xdr:col>12</xdr:col>
      <xdr:colOff>3533775</xdr:colOff>
      <xdr:row>33</xdr:row>
      <xdr:rowOff>38100</xdr:rowOff>
    </xdr:to>
    <xdr:sp>
      <xdr:nvSpPr>
        <xdr:cNvPr id="7" name="AutoShape 30"/>
        <xdr:cNvSpPr>
          <a:spLocks/>
        </xdr:cNvSpPr>
      </xdr:nvSpPr>
      <xdr:spPr>
        <a:xfrm rot="16200000">
          <a:off x="26717625" y="4333875"/>
          <a:ext cx="990600" cy="1038225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3019425</xdr:colOff>
      <xdr:row>24</xdr:row>
      <xdr:rowOff>28575</xdr:rowOff>
    </xdr:from>
    <xdr:to>
      <xdr:col>12</xdr:col>
      <xdr:colOff>3019425</xdr:colOff>
      <xdr:row>28</xdr:row>
      <xdr:rowOff>19050</xdr:rowOff>
    </xdr:to>
    <xdr:sp>
      <xdr:nvSpPr>
        <xdr:cNvPr id="8" name="Line 31"/>
        <xdr:cNvSpPr>
          <a:spLocks/>
        </xdr:cNvSpPr>
      </xdr:nvSpPr>
      <xdr:spPr>
        <a:xfrm>
          <a:off x="27193875" y="3562350"/>
          <a:ext cx="0" cy="7905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2714625</xdr:colOff>
      <xdr:row>30</xdr:row>
      <xdr:rowOff>95250</xdr:rowOff>
    </xdr:from>
    <xdr:to>
      <xdr:col>13</xdr:col>
      <xdr:colOff>38100</xdr:colOff>
      <xdr:row>34</xdr:row>
      <xdr:rowOff>142875</xdr:rowOff>
    </xdr:to>
    <xdr:sp>
      <xdr:nvSpPr>
        <xdr:cNvPr id="9" name="AutoShape 35"/>
        <xdr:cNvSpPr>
          <a:spLocks/>
        </xdr:cNvSpPr>
      </xdr:nvSpPr>
      <xdr:spPr>
        <a:xfrm>
          <a:off x="26889075" y="4829175"/>
          <a:ext cx="1323975" cy="847725"/>
        </a:xfrm>
        <a:custGeom>
          <a:pathLst>
            <a:path h="89" w="139">
              <a:moveTo>
                <a:pt x="134" y="1"/>
              </a:moveTo>
              <a:lnTo>
                <a:pt x="0" y="0"/>
              </a:lnTo>
              <a:lnTo>
                <a:pt x="73" y="14"/>
              </a:lnTo>
              <a:lnTo>
                <a:pt x="5" y="23"/>
              </a:lnTo>
              <a:lnTo>
                <a:pt x="70" y="31"/>
              </a:lnTo>
              <a:lnTo>
                <a:pt x="6" y="45"/>
              </a:lnTo>
              <a:lnTo>
                <a:pt x="138" y="48"/>
              </a:lnTo>
              <a:lnTo>
                <a:pt x="139" y="89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3990975</xdr:colOff>
      <xdr:row>28</xdr:row>
      <xdr:rowOff>152400</xdr:rowOff>
    </xdr:from>
    <xdr:to>
      <xdr:col>13</xdr:col>
      <xdr:colOff>371475</xdr:colOff>
      <xdr:row>30</xdr:row>
      <xdr:rowOff>114300</xdr:rowOff>
    </xdr:to>
    <xdr:sp>
      <xdr:nvSpPr>
        <xdr:cNvPr id="10" name="AutoShape 50"/>
        <xdr:cNvSpPr>
          <a:spLocks/>
        </xdr:cNvSpPr>
      </xdr:nvSpPr>
      <xdr:spPr>
        <a:xfrm flipH="1">
          <a:off x="28165425" y="4486275"/>
          <a:ext cx="381000" cy="361950"/>
        </a:xfrm>
        <a:prstGeom prst="flowChartMagneticTap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34</xdr:row>
      <xdr:rowOff>85725</xdr:rowOff>
    </xdr:from>
    <xdr:to>
      <xdr:col>13</xdr:col>
      <xdr:colOff>1895475</xdr:colOff>
      <xdr:row>36</xdr:row>
      <xdr:rowOff>85725</xdr:rowOff>
    </xdr:to>
    <xdr:sp>
      <xdr:nvSpPr>
        <xdr:cNvPr id="11" name="AutoShape 51"/>
        <xdr:cNvSpPr>
          <a:spLocks/>
        </xdr:cNvSpPr>
      </xdr:nvSpPr>
      <xdr:spPr>
        <a:xfrm>
          <a:off x="27936825" y="5619750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29</xdr:row>
      <xdr:rowOff>114300</xdr:rowOff>
    </xdr:from>
    <xdr:to>
      <xdr:col>13</xdr:col>
      <xdr:colOff>1590675</xdr:colOff>
      <xdr:row>34</xdr:row>
      <xdr:rowOff>133350</xdr:rowOff>
    </xdr:to>
    <xdr:sp>
      <xdr:nvSpPr>
        <xdr:cNvPr id="12" name="AutoShape 53"/>
        <xdr:cNvSpPr>
          <a:spLocks/>
        </xdr:cNvSpPr>
      </xdr:nvSpPr>
      <xdr:spPr>
        <a:xfrm>
          <a:off x="28546425" y="4648200"/>
          <a:ext cx="1228725" cy="1019175"/>
        </a:xfrm>
        <a:custGeom>
          <a:pathLst>
            <a:path h="107" w="128">
              <a:moveTo>
                <a:pt x="0" y="0"/>
              </a:moveTo>
              <a:lnTo>
                <a:pt x="125" y="0"/>
              </a:lnTo>
              <a:lnTo>
                <a:pt x="128" y="107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34</xdr:row>
      <xdr:rowOff>133350</xdr:rowOff>
    </xdr:from>
    <xdr:to>
      <xdr:col>13</xdr:col>
      <xdr:colOff>1885950</xdr:colOff>
      <xdr:row>36</xdr:row>
      <xdr:rowOff>76200</xdr:rowOff>
    </xdr:to>
    <xdr:sp>
      <xdr:nvSpPr>
        <xdr:cNvPr id="13" name="AutoShape 52"/>
        <xdr:cNvSpPr>
          <a:spLocks/>
        </xdr:cNvSpPr>
      </xdr:nvSpPr>
      <xdr:spPr>
        <a:xfrm>
          <a:off x="27974925" y="5667375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19</xdr:row>
      <xdr:rowOff>85725</xdr:rowOff>
    </xdr:from>
    <xdr:to>
      <xdr:col>13</xdr:col>
      <xdr:colOff>1895475</xdr:colOff>
      <xdr:row>21</xdr:row>
      <xdr:rowOff>85725</xdr:rowOff>
    </xdr:to>
    <xdr:sp>
      <xdr:nvSpPr>
        <xdr:cNvPr id="14" name="AutoShape 86"/>
        <xdr:cNvSpPr>
          <a:spLocks/>
        </xdr:cNvSpPr>
      </xdr:nvSpPr>
      <xdr:spPr>
        <a:xfrm>
          <a:off x="27936825" y="2619375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19</xdr:row>
      <xdr:rowOff>133350</xdr:rowOff>
    </xdr:from>
    <xdr:to>
      <xdr:col>13</xdr:col>
      <xdr:colOff>1885950</xdr:colOff>
      <xdr:row>21</xdr:row>
      <xdr:rowOff>76200</xdr:rowOff>
    </xdr:to>
    <xdr:sp>
      <xdr:nvSpPr>
        <xdr:cNvPr id="15" name="AutoShape 87"/>
        <xdr:cNvSpPr>
          <a:spLocks/>
        </xdr:cNvSpPr>
      </xdr:nvSpPr>
      <xdr:spPr>
        <a:xfrm>
          <a:off x="27974925" y="2667000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152400</xdr:rowOff>
    </xdr:from>
    <xdr:to>
      <xdr:col>18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696700" y="1609725"/>
        <a:ext cx="5943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showOutlineSymbols="0" workbookViewId="0" topLeftCell="A1">
      <selection activeCell="I19" sqref="I19"/>
    </sheetView>
  </sheetViews>
  <sheetFormatPr defaultColWidth="9.140625" defaultRowHeight="12.75"/>
  <cols>
    <col min="1" max="1" width="5.00390625" style="40" customWidth="1"/>
    <col min="2" max="2" width="5.28125" style="40" customWidth="1"/>
    <col min="3" max="3" width="9.140625" style="40" customWidth="1"/>
    <col min="4" max="4" width="11.8515625" style="40" bestFit="1" customWidth="1"/>
    <col min="5" max="10" width="9.140625" style="40" customWidth="1"/>
    <col min="11" max="11" width="9.57421875" style="40" bestFit="1" customWidth="1"/>
    <col min="12" max="16384" width="9.140625" style="40" customWidth="1"/>
  </cols>
  <sheetData>
    <row r="3" ht="18.75">
      <c r="B3" s="41"/>
    </row>
    <row r="5" spans="2:14" ht="19.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9.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2:14" ht="31.5">
      <c r="B7" s="42"/>
      <c r="C7" s="63" t="s">
        <v>49</v>
      </c>
      <c r="D7" s="42"/>
      <c r="E7" s="42"/>
      <c r="F7" s="42"/>
      <c r="G7" s="42"/>
      <c r="H7" s="42"/>
      <c r="I7" s="42"/>
      <c r="J7" s="42"/>
      <c r="K7" s="44">
        <v>25112008</v>
      </c>
      <c r="L7" s="42"/>
      <c r="M7" s="42"/>
      <c r="N7" s="42"/>
    </row>
    <row r="8" spans="2:14" ht="19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19.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4" ht="19.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4" ht="19.5">
      <c r="B11" s="42"/>
      <c r="C11" s="43" t="s">
        <v>38</v>
      </c>
      <c r="D11" s="45"/>
      <c r="E11" s="45"/>
      <c r="F11" s="45"/>
      <c r="G11" s="42"/>
      <c r="H11" s="42"/>
      <c r="I11" s="42"/>
      <c r="J11" s="42"/>
      <c r="K11" s="42"/>
      <c r="L11" s="42"/>
      <c r="M11" s="42"/>
      <c r="N11" s="42"/>
    </row>
    <row r="12" spans="2:14" ht="19.5">
      <c r="B12" s="42"/>
      <c r="C12" s="45" t="s">
        <v>10</v>
      </c>
      <c r="D12" s="46" t="s">
        <v>95</v>
      </c>
      <c r="E12" s="45"/>
      <c r="F12" s="45"/>
      <c r="G12" s="42"/>
      <c r="H12" s="42"/>
      <c r="I12" s="42"/>
      <c r="J12" s="42"/>
      <c r="K12" s="42"/>
      <c r="L12" s="42"/>
      <c r="M12" s="42"/>
      <c r="N12" s="42"/>
    </row>
    <row r="13" spans="2:14" ht="19.5">
      <c r="B13" s="42"/>
      <c r="C13" s="47"/>
      <c r="D13" s="87"/>
      <c r="E13" s="45"/>
      <c r="F13" s="45"/>
      <c r="G13" s="42"/>
      <c r="H13" s="42"/>
      <c r="I13" s="42"/>
      <c r="J13" s="42"/>
      <c r="K13" s="42"/>
      <c r="L13" s="42"/>
      <c r="M13" s="42"/>
      <c r="N13" s="42"/>
    </row>
    <row r="14" spans="2:14" ht="19.5">
      <c r="B14" s="42"/>
      <c r="C14" s="47"/>
      <c r="D14" s="45"/>
      <c r="E14" s="45"/>
      <c r="F14" s="45"/>
      <c r="G14" s="42"/>
      <c r="H14" s="42"/>
      <c r="I14" s="42"/>
      <c r="J14" s="42"/>
      <c r="K14" s="42"/>
      <c r="L14" s="42"/>
      <c r="M14" s="42"/>
      <c r="N14" s="42"/>
    </row>
    <row r="15" spans="2:14" ht="19.5">
      <c r="B15" s="42"/>
      <c r="C15" s="47"/>
      <c r="D15" s="45"/>
      <c r="E15" s="45"/>
      <c r="F15" s="45"/>
      <c r="G15" s="42"/>
      <c r="H15" s="42"/>
      <c r="I15" s="42"/>
      <c r="J15" s="42"/>
      <c r="K15" s="42"/>
      <c r="L15" s="42"/>
      <c r="M15" s="42"/>
      <c r="N15" s="42"/>
    </row>
    <row r="16" spans="2:14" ht="19.5">
      <c r="B16" s="42"/>
      <c r="C16" s="47"/>
      <c r="D16" s="87"/>
      <c r="E16" s="45"/>
      <c r="F16" s="45"/>
      <c r="G16" s="42"/>
      <c r="H16" s="42"/>
      <c r="I16" s="42"/>
      <c r="J16" s="42"/>
      <c r="K16" s="42"/>
      <c r="L16" s="42"/>
      <c r="M16" s="42"/>
      <c r="N16" s="42"/>
    </row>
    <row r="17" spans="2:14" ht="9.75" customHeight="1">
      <c r="B17" s="42"/>
      <c r="D17" s="87"/>
      <c r="E17" s="45"/>
      <c r="F17" s="45"/>
      <c r="G17" s="42"/>
      <c r="H17" s="42"/>
      <c r="I17" s="42"/>
      <c r="J17" s="42"/>
      <c r="K17" s="42"/>
      <c r="L17" s="42"/>
      <c r="M17" s="42"/>
      <c r="N17" s="42"/>
    </row>
    <row r="18" spans="2:14" ht="19.5">
      <c r="B18" s="42"/>
      <c r="C18" s="86" t="s">
        <v>14</v>
      </c>
      <c r="D18" s="46" t="s">
        <v>96</v>
      </c>
      <c r="E18" s="45"/>
      <c r="F18" s="45"/>
      <c r="G18" s="42"/>
      <c r="H18" s="42"/>
      <c r="I18" s="42"/>
      <c r="J18" s="42"/>
      <c r="K18" s="42"/>
      <c r="L18" s="42"/>
      <c r="M18" s="42"/>
      <c r="N18" s="42"/>
    </row>
    <row r="19" spans="2:14" ht="19.5">
      <c r="B19" s="42"/>
      <c r="C19" s="47"/>
      <c r="D19" s="87"/>
      <c r="E19" s="45"/>
      <c r="F19" s="45"/>
      <c r="G19" s="42"/>
      <c r="H19" s="42"/>
      <c r="I19" s="42"/>
      <c r="J19" s="42"/>
      <c r="K19" s="42"/>
      <c r="L19" s="42"/>
      <c r="M19" s="42"/>
      <c r="N19" s="42"/>
    </row>
    <row r="20" spans="2:14" ht="19.5">
      <c r="B20" s="42"/>
      <c r="C20" s="47"/>
      <c r="D20" s="87"/>
      <c r="E20" s="45"/>
      <c r="F20" s="45"/>
      <c r="G20" s="42"/>
      <c r="H20" s="42"/>
      <c r="I20" s="42"/>
      <c r="J20" s="42"/>
      <c r="K20" s="42"/>
      <c r="L20" s="42"/>
      <c r="M20" s="42"/>
      <c r="N20" s="42"/>
    </row>
    <row r="21" spans="2:14" ht="19.5">
      <c r="B21" s="42"/>
      <c r="C21" s="45"/>
      <c r="D21" s="87"/>
      <c r="E21" s="45"/>
      <c r="F21" s="45"/>
      <c r="G21" s="42"/>
      <c r="H21" s="42"/>
      <c r="I21" s="42"/>
      <c r="J21" s="42"/>
      <c r="K21" s="42"/>
      <c r="L21" s="42"/>
      <c r="M21" s="42"/>
      <c r="N21" s="42"/>
    </row>
    <row r="22" spans="2:14" ht="19.5" customHeight="1">
      <c r="B22" s="42"/>
      <c r="C22" s="45"/>
      <c r="D22" s="87"/>
      <c r="E22" s="45"/>
      <c r="F22" s="45"/>
      <c r="G22" s="42"/>
      <c r="H22" s="42"/>
      <c r="I22" s="42"/>
      <c r="J22" s="42"/>
      <c r="K22" s="42"/>
      <c r="L22" s="42"/>
      <c r="M22" s="42"/>
      <c r="N22" s="42"/>
    </row>
    <row r="23" spans="2:14" ht="9.75" customHeight="1">
      <c r="B23" s="42"/>
      <c r="C23" s="45"/>
      <c r="D23" s="87"/>
      <c r="E23" s="45"/>
      <c r="F23" s="45"/>
      <c r="G23" s="42"/>
      <c r="H23" s="42"/>
      <c r="I23" s="42"/>
      <c r="J23" s="42"/>
      <c r="K23" s="42"/>
      <c r="L23" s="42"/>
      <c r="M23" s="42"/>
      <c r="N23" s="42"/>
    </row>
    <row r="24" spans="3:6" ht="19.5">
      <c r="C24" s="45"/>
      <c r="D24" s="46"/>
      <c r="E24" s="45"/>
      <c r="F24" s="45"/>
    </row>
    <row r="25" spans="3:4" ht="19.5">
      <c r="C25" s="47"/>
      <c r="D25" s="45"/>
    </row>
    <row r="26" spans="3:4" ht="19.5">
      <c r="C26" s="47"/>
      <c r="D26" s="45"/>
    </row>
    <row r="27" ht="19.5">
      <c r="D27" s="45"/>
    </row>
    <row r="28" ht="19.5">
      <c r="D28" s="45"/>
    </row>
    <row r="29" ht="14.25">
      <c r="C29" s="64" t="s">
        <v>45</v>
      </c>
    </row>
  </sheetData>
  <sheetProtection password="DEF4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M313"/>
  <sheetViews>
    <sheetView showGridLines="0" showRowColHeaders="0" tabSelected="1" showOutlineSymbols="0" workbookViewId="0" topLeftCell="A1">
      <pane xSplit="12" topLeftCell="M1" activePane="topRight" state="frozen"/>
      <selection pane="topLeft" activeCell="A1" sqref="A1"/>
      <selection pane="topRight" activeCell="H2" sqref="H2"/>
    </sheetView>
  </sheetViews>
  <sheetFormatPr defaultColWidth="9.140625" defaultRowHeight="12.75"/>
  <cols>
    <col min="1" max="1" width="2.8515625" style="1" customWidth="1"/>
    <col min="2" max="2" width="22.7109375" style="1" bestFit="1" customWidth="1"/>
    <col min="3" max="3" width="10.57421875" style="1" customWidth="1"/>
    <col min="4" max="4" width="5.421875" style="1" customWidth="1"/>
    <col min="5" max="5" width="14.421875" style="1" bestFit="1" customWidth="1"/>
    <col min="6" max="6" width="5.28125" style="1" customWidth="1"/>
    <col min="7" max="7" width="3.28125" style="1" customWidth="1"/>
    <col min="8" max="8" width="44.28125" style="1" customWidth="1"/>
    <col min="9" max="9" width="11.28125" style="1" bestFit="1" customWidth="1"/>
    <col min="10" max="10" width="3.8515625" style="1" customWidth="1"/>
    <col min="11" max="11" width="10.00390625" style="1" customWidth="1"/>
    <col min="12" max="12" width="228.57421875" style="1" customWidth="1"/>
    <col min="13" max="13" width="60.00390625" style="1" customWidth="1"/>
    <col min="14" max="15" width="134.2812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421875" style="1" bestFit="1" customWidth="1"/>
    <col min="22" max="22" width="16.7109375" style="1" bestFit="1" customWidth="1"/>
    <col min="23" max="23" width="17.8515625" style="1" bestFit="1" customWidth="1"/>
    <col min="24" max="24" width="10.00390625" style="1" bestFit="1" customWidth="1"/>
    <col min="25" max="25" width="9.140625" style="1" customWidth="1"/>
    <col min="26" max="26" width="10.28125" style="1" bestFit="1" customWidth="1"/>
    <col min="27" max="27" width="46.57421875" style="1" bestFit="1" customWidth="1"/>
    <col min="28" max="28" width="16.57421875" style="1" bestFit="1" customWidth="1"/>
    <col min="29" max="29" width="16.140625" style="1" bestFit="1" customWidth="1"/>
    <col min="30" max="30" width="12.421875" style="1" bestFit="1" customWidth="1"/>
    <col min="31" max="31" width="14.57421875" style="1" bestFit="1" customWidth="1"/>
    <col min="32" max="33" width="9.421875" style="1" bestFit="1" customWidth="1"/>
    <col min="34" max="34" width="13.140625" style="1" bestFit="1" customWidth="1"/>
    <col min="35" max="35" width="13.57421875" style="1" customWidth="1"/>
    <col min="36" max="36" width="15.57421875" style="1" bestFit="1" customWidth="1"/>
    <col min="37" max="16384" width="9.140625" style="1" customWidth="1"/>
  </cols>
  <sheetData>
    <row r="1" spans="2:28" ht="18.75" customHeight="1">
      <c r="B1" s="36"/>
      <c r="C1" s="72"/>
      <c r="D1" s="72"/>
      <c r="L1" s="10"/>
      <c r="P1" s="5">
        <v>0</v>
      </c>
      <c r="Q1" s="6">
        <v>0</v>
      </c>
      <c r="R1" s="6" t="s">
        <v>8</v>
      </c>
      <c r="S1" s="6">
        <v>0</v>
      </c>
      <c r="T1" s="7">
        <v>0</v>
      </c>
      <c r="U1" s="80">
        <f>(P1*3600+Q1*60+S1+T1)</f>
        <v>0</v>
      </c>
      <c r="V1" s="1" t="s">
        <v>48</v>
      </c>
      <c r="W1" s="65"/>
      <c r="X1" s="82"/>
      <c r="AA1" s="2" t="s">
        <v>53</v>
      </c>
      <c r="AB1" s="76">
        <v>0.2</v>
      </c>
    </row>
    <row r="2" spans="2:28" ht="3.75" customHeight="1" thickBot="1">
      <c r="B2" s="71"/>
      <c r="C2" s="72"/>
      <c r="D2" s="72"/>
      <c r="L2" s="10"/>
      <c r="P2" s="8"/>
      <c r="Q2" s="8"/>
      <c r="R2" s="8"/>
      <c r="S2" s="8"/>
      <c r="T2" s="8"/>
      <c r="U2" s="80"/>
      <c r="AA2" s="2"/>
      <c r="AB2" s="76"/>
    </row>
    <row r="3" spans="2:28" ht="15" customHeight="1" thickBot="1" thickTop="1">
      <c r="B3" s="94" t="s">
        <v>58</v>
      </c>
      <c r="C3" s="95">
        <f>100-E3</f>
        <v>50</v>
      </c>
      <c r="D3" s="94" t="s">
        <v>59</v>
      </c>
      <c r="E3" s="19">
        <v>50</v>
      </c>
      <c r="F3" s="17"/>
      <c r="H3" s="23" t="s">
        <v>198</v>
      </c>
      <c r="I3" s="187">
        <f>IF(AB61&gt;500,1,AB61)</f>
        <v>75.86229286805887</v>
      </c>
      <c r="J3" s="188" t="s">
        <v>109</v>
      </c>
      <c r="K3" s="180"/>
      <c r="L3" s="178"/>
      <c r="U3" s="81">
        <f>U1/V26</f>
        <v>0</v>
      </c>
      <c r="V3" s="1" t="s">
        <v>43</v>
      </c>
      <c r="AA3" s="56" t="s">
        <v>42</v>
      </c>
      <c r="AB3" s="16">
        <f>4*AB52/1000000000</f>
        <v>8.399999999999999</v>
      </c>
    </row>
    <row r="4" spans="2:28" ht="3.75" customHeight="1" thickTop="1">
      <c r="B4" s="9"/>
      <c r="C4" s="73"/>
      <c r="D4" s="74"/>
      <c r="E4" s="20"/>
      <c r="F4" s="133"/>
      <c r="G4" s="10"/>
      <c r="H4" s="9"/>
      <c r="I4" s="21"/>
      <c r="J4" s="22"/>
      <c r="K4" s="10"/>
      <c r="L4" s="10"/>
      <c r="AB4" s="16"/>
    </row>
    <row r="5" spans="2:28" ht="15" customHeight="1">
      <c r="B5" s="23" t="s">
        <v>55</v>
      </c>
      <c r="C5" s="117">
        <f>AB46-1/0.9936+1</f>
        <v>1</v>
      </c>
      <c r="D5" s="75"/>
      <c r="E5" s="17"/>
      <c r="F5" s="17"/>
      <c r="H5" s="23" t="s">
        <v>182</v>
      </c>
      <c r="I5" s="110">
        <f>IF(I3=1,100,AB56)</f>
        <v>286</v>
      </c>
      <c r="J5" s="109" t="s">
        <v>104</v>
      </c>
      <c r="L5" s="10"/>
      <c r="U5" s="80"/>
      <c r="V5" s="82"/>
      <c r="AB5" s="16"/>
    </row>
    <row r="6" spans="2:28" ht="3.75" customHeight="1">
      <c r="B6" s="9"/>
      <c r="C6" s="134"/>
      <c r="D6" s="9"/>
      <c r="E6" s="10"/>
      <c r="F6" s="10"/>
      <c r="G6" s="10"/>
      <c r="L6" s="10"/>
      <c r="AB6" s="16"/>
    </row>
    <row r="7" spans="2:28" ht="15" customHeight="1">
      <c r="B7" s="23" t="s">
        <v>181</v>
      </c>
      <c r="C7" s="104">
        <f>AD31</f>
        <v>3000</v>
      </c>
      <c r="D7" s="23" t="s">
        <v>82</v>
      </c>
      <c r="E7" s="19"/>
      <c r="F7" s="17"/>
      <c r="H7" s="23" t="s">
        <v>183</v>
      </c>
      <c r="I7" s="110">
        <f>V26</f>
        <v>1</v>
      </c>
      <c r="J7" s="84"/>
      <c r="K7" s="105"/>
      <c r="L7" s="10"/>
      <c r="AB7" s="77"/>
    </row>
    <row r="8" spans="8:28" ht="3.75" customHeight="1">
      <c r="H8" s="10"/>
      <c r="I8" s="10"/>
      <c r="J8" s="10"/>
      <c r="K8" s="10"/>
      <c r="L8" s="10"/>
      <c r="AA8" s="2"/>
      <c r="AB8" s="76"/>
    </row>
    <row r="9" spans="2:29" ht="15" customHeight="1">
      <c r="B9" s="23" t="s">
        <v>180</v>
      </c>
      <c r="C9" s="104">
        <f>C7*0.3</f>
        <v>900</v>
      </c>
      <c r="D9" s="23" t="s">
        <v>82</v>
      </c>
      <c r="E9" s="160"/>
      <c r="H9" s="9"/>
      <c r="I9" s="167"/>
      <c r="J9" s="168"/>
      <c r="K9" s="10"/>
      <c r="L9" s="10"/>
      <c r="AA9" s="2"/>
      <c r="AB9" s="77" t="str">
        <f>V47</f>
        <v>y onderkant</v>
      </c>
      <c r="AC9" s="59"/>
    </row>
    <row r="10" spans="8:28" ht="3.75" customHeight="1">
      <c r="H10" s="9"/>
      <c r="I10" s="21"/>
      <c r="J10" s="22"/>
      <c r="K10" s="10"/>
      <c r="L10" s="10"/>
      <c r="AB10" s="76"/>
    </row>
    <row r="11" spans="2:28" ht="15" customHeight="1">
      <c r="B11" s="23" t="s">
        <v>185</v>
      </c>
      <c r="C11" s="104">
        <f>C7-C9</f>
        <v>2100</v>
      </c>
      <c r="D11" s="23" t="s">
        <v>82</v>
      </c>
      <c r="H11" s="9"/>
      <c r="I11" s="21"/>
      <c r="J11" s="22"/>
      <c r="K11" s="10"/>
      <c r="L11" s="10"/>
      <c r="AB11" s="76"/>
    </row>
    <row r="12" spans="8:28" ht="3.75" customHeight="1" thickBot="1">
      <c r="H12" s="9"/>
      <c r="I12" s="21"/>
      <c r="J12" s="22"/>
      <c r="K12" s="10"/>
      <c r="L12" s="10"/>
      <c r="AB12" s="76"/>
    </row>
    <row r="13" spans="2:28" ht="15" customHeight="1" thickBot="1" thickTop="1">
      <c r="B13" s="23" t="s">
        <v>197</v>
      </c>
      <c r="C13" s="185">
        <f>AB52/1000000</f>
        <v>2099.9999999999995</v>
      </c>
      <c r="D13" s="186" t="s">
        <v>82</v>
      </c>
      <c r="E13" s="25">
        <f>IF(C13&gt;=3000,"Maximaal","")</f>
      </c>
      <c r="H13" s="9"/>
      <c r="I13" s="21"/>
      <c r="J13" s="22"/>
      <c r="K13" s="10"/>
      <c r="L13" s="10"/>
      <c r="AB13" s="76"/>
    </row>
    <row r="14" spans="8:28" ht="3.75" customHeight="1" thickBot="1" thickTop="1">
      <c r="H14" s="9"/>
      <c r="I14" s="21"/>
      <c r="J14" s="22"/>
      <c r="K14" s="10"/>
      <c r="L14" s="10"/>
      <c r="AB14" s="76"/>
    </row>
    <row r="15" spans="2:28" ht="15" customHeight="1" thickBot="1" thickTop="1">
      <c r="B15" s="23" t="s">
        <v>47</v>
      </c>
      <c r="C15" s="48"/>
      <c r="D15" s="18"/>
      <c r="E15" s="181">
        <f>U1</f>
        <v>0</v>
      </c>
      <c r="F15" s="182" t="s">
        <v>3</v>
      </c>
      <c r="H15" s="85" t="s">
        <v>56</v>
      </c>
      <c r="I15" s="62"/>
      <c r="J15" s="23"/>
      <c r="K15" s="9"/>
      <c r="L15" s="10"/>
      <c r="AA15" s="2"/>
      <c r="AB15" s="77">
        <f>-AB1+AB7</f>
        <v>-0.2</v>
      </c>
    </row>
    <row r="16" spans="2:28" ht="2.25" customHeight="1" thickTop="1">
      <c r="B16" s="10"/>
      <c r="C16" s="10"/>
      <c r="D16" s="10"/>
      <c r="K16" s="2"/>
      <c r="AB16" s="11"/>
    </row>
    <row r="17" spans="9:37" ht="15.75">
      <c r="I17" s="59"/>
      <c r="K17" s="2"/>
      <c r="U17" s="55"/>
      <c r="V17" s="13" t="s">
        <v>41</v>
      </c>
      <c r="AA17" s="1" t="s">
        <v>44</v>
      </c>
      <c r="AB17" s="79">
        <f>2*PI()/AB3</f>
        <v>0.7479982508547127</v>
      </c>
      <c r="AF17" s="12" t="s">
        <v>148</v>
      </c>
      <c r="AG17" s="13"/>
      <c r="AH17" s="12" t="s">
        <v>143</v>
      </c>
      <c r="AI17" s="13"/>
      <c r="AJ17" s="55" t="s">
        <v>139</v>
      </c>
      <c r="AK17" s="13"/>
    </row>
    <row r="18" spans="13:37" ht="15.75">
      <c r="M18" s="132" t="s">
        <v>134</v>
      </c>
      <c r="U18" s="51">
        <v>0</v>
      </c>
      <c r="V18" s="90">
        <f>1*10^U18</f>
        <v>1</v>
      </c>
      <c r="AA18" s="2" t="s">
        <v>40</v>
      </c>
      <c r="AB18" s="79">
        <f>1/AB17</f>
        <v>1.3369015219719207</v>
      </c>
      <c r="AF18" s="51" t="s">
        <v>130</v>
      </c>
      <c r="AG18" s="141">
        <v>4</v>
      </c>
      <c r="AH18" s="51" t="s">
        <v>150</v>
      </c>
      <c r="AI18" s="15">
        <v>3.2</v>
      </c>
      <c r="AJ18" s="51" t="s">
        <v>140</v>
      </c>
      <c r="AK18" s="141">
        <v>2</v>
      </c>
    </row>
    <row r="19" spans="13:37" ht="15.75">
      <c r="M19" s="1" t="s">
        <v>172</v>
      </c>
      <c r="U19" s="51">
        <v>1</v>
      </c>
      <c r="V19" s="90">
        <f aca="true" t="shared" si="0" ref="V19:V24">1*10^U19</f>
        <v>10</v>
      </c>
      <c r="AA19" s="2" t="s">
        <v>46</v>
      </c>
      <c r="AB19" s="76">
        <f>AB3*U1+PI()/4</f>
        <v>0.7853981633974483</v>
      </c>
      <c r="AF19" s="51" t="s">
        <v>131</v>
      </c>
      <c r="AG19" s="141">
        <v>0.5</v>
      </c>
      <c r="AH19" s="51" t="s">
        <v>133</v>
      </c>
      <c r="AI19" s="142">
        <v>0.04</v>
      </c>
      <c r="AJ19" s="51" t="s">
        <v>141</v>
      </c>
      <c r="AK19" s="141">
        <v>0.5</v>
      </c>
    </row>
    <row r="20" spans="13:37" ht="15.75">
      <c r="M20" s="1" t="s">
        <v>50</v>
      </c>
      <c r="U20" s="51">
        <v>2</v>
      </c>
      <c r="V20" s="90">
        <f t="shared" si="0"/>
        <v>100</v>
      </c>
      <c r="AA20" s="92" t="s">
        <v>54</v>
      </c>
      <c r="AB20" s="93" t="s">
        <v>5</v>
      </c>
      <c r="AC20" s="76"/>
      <c r="AF20" s="51" t="s">
        <v>4</v>
      </c>
      <c r="AG20" s="15" t="s">
        <v>5</v>
      </c>
      <c r="AH20" s="51" t="s">
        <v>4</v>
      </c>
      <c r="AI20" s="15" t="s">
        <v>5</v>
      </c>
      <c r="AJ20" s="51" t="s">
        <v>142</v>
      </c>
      <c r="AK20" s="141">
        <f>2*AK19</f>
        <v>1</v>
      </c>
    </row>
    <row r="21" spans="13:37" ht="15.75">
      <c r="M21" s="1" t="s">
        <v>52</v>
      </c>
      <c r="U21" s="51">
        <v>3</v>
      </c>
      <c r="V21" s="90">
        <f t="shared" si="0"/>
        <v>1000</v>
      </c>
      <c r="AA21" s="52">
        <f>$AB$1*COS($AB$19)</f>
        <v>0.14142135623730953</v>
      </c>
      <c r="AB21" s="53">
        <f>$AB$1*SIN($AB$19)</f>
        <v>0.1414213562373095</v>
      </c>
      <c r="AF21" s="92">
        <f>AA21+$AG$18</f>
        <v>4.141421356237309</v>
      </c>
      <c r="AG21" s="143">
        <f>AB21+$AG$19</f>
        <v>0.6414213562373094</v>
      </c>
      <c r="AH21" s="57">
        <f>U70</f>
        <v>2</v>
      </c>
      <c r="AI21" s="129">
        <f>AI23+AI19</f>
        <v>5.04</v>
      </c>
      <c r="AJ21" s="51" t="s">
        <v>4</v>
      </c>
      <c r="AK21" s="15" t="s">
        <v>5</v>
      </c>
    </row>
    <row r="22" spans="21:37" ht="15.75">
      <c r="U22" s="51">
        <v>4</v>
      </c>
      <c r="V22" s="90">
        <f t="shared" si="0"/>
        <v>10000</v>
      </c>
      <c r="AA22" s="49">
        <f>-AA21</f>
        <v>-0.14142135623730953</v>
      </c>
      <c r="AB22" s="54">
        <f>-AB21</f>
        <v>-0.1414213562373095</v>
      </c>
      <c r="AF22" s="49">
        <f>AA22+$AG$18</f>
        <v>3.8585786437626903</v>
      </c>
      <c r="AG22" s="98">
        <f>AB22+$AG$19</f>
        <v>0.3585786437626905</v>
      </c>
      <c r="AH22" s="57">
        <f>AH21+AI18</f>
        <v>5.2</v>
      </c>
      <c r="AI22" s="129">
        <f>AI21</f>
        <v>5.04</v>
      </c>
      <c r="AJ22" s="57">
        <f>AH22</f>
        <v>5.2</v>
      </c>
      <c r="AK22" s="60">
        <f>$AI$23+$AK$19/2</f>
        <v>5.25</v>
      </c>
    </row>
    <row r="23" spans="21:37" ht="15.75">
      <c r="U23" s="51">
        <v>5</v>
      </c>
      <c r="V23" s="90">
        <f t="shared" si="0"/>
        <v>100000</v>
      </c>
      <c r="AA23" s="52">
        <f>$AB$1*COS($AB$19+PI()/2)</f>
        <v>-0.1414213562373095</v>
      </c>
      <c r="AB23" s="53">
        <f>$AB$1*SIN($AB$19+PI()/2)</f>
        <v>0.14142135623730953</v>
      </c>
      <c r="AF23" s="52">
        <f>AA23+$AG$18</f>
        <v>3.8585786437626903</v>
      </c>
      <c r="AG23" s="68">
        <f>AB23+$AG$19</f>
        <v>0.6414213562373096</v>
      </c>
      <c r="AH23" s="128">
        <f>AH21</f>
        <v>2</v>
      </c>
      <c r="AI23" s="130">
        <v>5</v>
      </c>
      <c r="AJ23" s="57">
        <f>AJ22+AK18</f>
        <v>7.2</v>
      </c>
      <c r="AK23" s="60">
        <f>$AI$23+$AK$20/2</f>
        <v>5.5</v>
      </c>
    </row>
    <row r="24" spans="3:37" ht="15.75">
      <c r="C24" s="10"/>
      <c r="U24" s="91">
        <v>6</v>
      </c>
      <c r="V24" s="108">
        <f t="shared" si="0"/>
        <v>1000000</v>
      </c>
      <c r="AA24" s="49">
        <f>-AA23</f>
        <v>0.1414213562373095</v>
      </c>
      <c r="AB24" s="54">
        <f>-AB23</f>
        <v>-0.14142135623730953</v>
      </c>
      <c r="AF24" s="49">
        <f>AA24+$AG$18</f>
        <v>4.141421356237309</v>
      </c>
      <c r="AG24" s="98">
        <f>AB24+$AG$19</f>
        <v>0.35857864376269044</v>
      </c>
      <c r="AH24" s="128">
        <f>AH22</f>
        <v>5.2</v>
      </c>
      <c r="AI24" s="130">
        <f>AI23</f>
        <v>5</v>
      </c>
      <c r="AJ24" s="57">
        <f>AJ23</f>
        <v>7.2</v>
      </c>
      <c r="AK24" s="60">
        <f>$AI$23-$AK$20/2</f>
        <v>4.5</v>
      </c>
    </row>
    <row r="25" spans="21:37" ht="15.75">
      <c r="U25" s="101">
        <v>0</v>
      </c>
      <c r="V25" s="78">
        <f>VLOOKUP(U25,U18:V24,2)</f>
        <v>1</v>
      </c>
      <c r="AA25" s="12" t="s">
        <v>114</v>
      </c>
      <c r="AB25" s="118"/>
      <c r="AC25" s="13"/>
      <c r="AF25" s="12" t="s">
        <v>138</v>
      </c>
      <c r="AG25" s="13">
        <f>2*PI()/10</f>
        <v>0.6283185307179586</v>
      </c>
      <c r="AH25" s="137">
        <f>AH21</f>
        <v>2</v>
      </c>
      <c r="AI25" s="129">
        <f>AI23-AI19</f>
        <v>4.96</v>
      </c>
      <c r="AJ25" s="57">
        <f>AJ22</f>
        <v>5.2</v>
      </c>
      <c r="AK25" s="70">
        <f>$AI$23-$AK$19/2</f>
        <v>4.75</v>
      </c>
    </row>
    <row r="26" spans="21:37" ht="15.75">
      <c r="U26" s="83" t="s">
        <v>69</v>
      </c>
      <c r="V26" s="107">
        <f>V25</f>
        <v>1</v>
      </c>
      <c r="AA26" s="119" t="s">
        <v>115</v>
      </c>
      <c r="AB26" s="120">
        <v>140</v>
      </c>
      <c r="AC26" s="121" t="s">
        <v>109</v>
      </c>
      <c r="AF26" s="51" t="s">
        <v>133</v>
      </c>
      <c r="AG26" s="142">
        <f>AB1*1.2</f>
        <v>0.24</v>
      </c>
      <c r="AH26" s="137">
        <f>AH22</f>
        <v>5.2</v>
      </c>
      <c r="AI26" s="129">
        <f>AI25</f>
        <v>4.96</v>
      </c>
      <c r="AJ26" s="66">
        <f>AJ22</f>
        <v>5.2</v>
      </c>
      <c r="AK26" s="140">
        <f>AK22</f>
        <v>5.25</v>
      </c>
    </row>
    <row r="27" spans="21:37" ht="15.75">
      <c r="U27" s="2"/>
      <c r="V27" s="2"/>
      <c r="AA27" s="119" t="s">
        <v>126</v>
      </c>
      <c r="AB27" s="122">
        <f>3000000000</f>
        <v>3000000000</v>
      </c>
      <c r="AC27" s="121" t="s">
        <v>57</v>
      </c>
      <c r="AF27" s="14" t="s">
        <v>4</v>
      </c>
      <c r="AG27" s="70" t="s">
        <v>5</v>
      </c>
      <c r="AH27" s="12" t="s">
        <v>144</v>
      </c>
      <c r="AI27" s="13"/>
      <c r="AJ27" s="12" t="s">
        <v>51</v>
      </c>
      <c r="AK27" s="13"/>
    </row>
    <row r="28" spans="22:37" ht="15.75">
      <c r="V28" s="11"/>
      <c r="W28" s="16"/>
      <c r="AA28" s="119" t="s">
        <v>127</v>
      </c>
      <c r="AB28" s="124">
        <v>0.3</v>
      </c>
      <c r="AC28" s="121"/>
      <c r="AE28" s="127">
        <v>0</v>
      </c>
      <c r="AF28" s="57">
        <f>$AG$18+$AG$26*COS(AE28*$AG$25)</f>
        <v>4.24</v>
      </c>
      <c r="AG28" s="60">
        <f>$AG$19+$AG$26*SIN(AE28*$AG$25)</f>
        <v>0.5</v>
      </c>
      <c r="AH28" s="51"/>
      <c r="AI28" s="15"/>
      <c r="AJ28" s="51" t="s">
        <v>146</v>
      </c>
      <c r="AK28" s="141">
        <v>1</v>
      </c>
    </row>
    <row r="29" spans="21:37" ht="15.75">
      <c r="U29" s="12" t="s">
        <v>63</v>
      </c>
      <c r="V29" s="13">
        <v>0.5</v>
      </c>
      <c r="W29" s="11"/>
      <c r="AA29" s="119" t="s">
        <v>116</v>
      </c>
      <c r="AB29" s="120">
        <v>600</v>
      </c>
      <c r="AC29" s="121" t="s">
        <v>111</v>
      </c>
      <c r="AE29" s="127">
        <v>1</v>
      </c>
      <c r="AF29" s="57">
        <f aca="true" t="shared" si="1" ref="AF29:AF38">$AG$18+$AG$26*COS(AE29*$AG$25)</f>
        <v>4.194164078649988</v>
      </c>
      <c r="AG29" s="60">
        <f>$AG$19+$AG$26*SIN(AE29*$AG$25)</f>
        <v>0.6410684605501935</v>
      </c>
      <c r="AH29" s="51" t="s">
        <v>133</v>
      </c>
      <c r="AI29" s="15">
        <f>AI19</f>
        <v>0.04</v>
      </c>
      <c r="AJ29" s="51" t="s">
        <v>147</v>
      </c>
      <c r="AK29" s="141">
        <v>2</v>
      </c>
    </row>
    <row r="30" spans="10:37" ht="15.75">
      <c r="J30" s="29"/>
      <c r="U30" s="51" t="s">
        <v>60</v>
      </c>
      <c r="V30" s="68">
        <v>3</v>
      </c>
      <c r="W30" s="11"/>
      <c r="AA30" s="123" t="s">
        <v>125</v>
      </c>
      <c r="AB30" s="125">
        <f>AB27/(AB32)</f>
        <v>9.191176470588236E+19</v>
      </c>
      <c r="AC30" s="126" t="s">
        <v>128</v>
      </c>
      <c r="AE30" s="127">
        <v>2</v>
      </c>
      <c r="AF30" s="57">
        <f t="shared" si="1"/>
        <v>4.0741640786499875</v>
      </c>
      <c r="AG30" s="60">
        <f>$AG$19+$AG$26*SIN(AE30*$AG$25)</f>
        <v>0.7282535639108368</v>
      </c>
      <c r="AH30" s="51" t="s">
        <v>4</v>
      </c>
      <c r="AI30" s="15" t="s">
        <v>5</v>
      </c>
      <c r="AJ30" s="51" t="s">
        <v>4</v>
      </c>
      <c r="AK30" s="15" t="s">
        <v>5</v>
      </c>
    </row>
    <row r="31" spans="10:37" ht="15.75">
      <c r="J31" s="3"/>
      <c r="U31" s="51" t="s">
        <v>61</v>
      </c>
      <c r="V31" s="15" t="s">
        <v>62</v>
      </c>
      <c r="W31" s="16"/>
      <c r="AA31" s="1" t="s">
        <v>129</v>
      </c>
      <c r="AB31" s="89">
        <f>MAX(0,AB27+AB27*(AB46-1/AB42)*U1)</f>
        <v>3000000000</v>
      </c>
      <c r="AC31" s="1" t="s">
        <v>81</v>
      </c>
      <c r="AD31" s="89">
        <f>AB31/1000000</f>
        <v>3000</v>
      </c>
      <c r="AE31" s="127">
        <v>3</v>
      </c>
      <c r="AF31" s="57">
        <f t="shared" si="1"/>
        <v>3.9258359213500125</v>
      </c>
      <c r="AG31" s="60">
        <f>$AG$19+$AG$26*SIN(AE31*$AG$25)</f>
        <v>0.7282535639108368</v>
      </c>
      <c r="AH31" s="144">
        <f>AJ23</f>
        <v>7.2</v>
      </c>
      <c r="AI31" s="129">
        <f>AK24</f>
        <v>4.5</v>
      </c>
      <c r="AJ31" s="14">
        <f>AJ23-AK28/2</f>
        <v>6.7</v>
      </c>
      <c r="AK31" s="60">
        <f>AK24-2</f>
        <v>2.5</v>
      </c>
    </row>
    <row r="32" spans="21:37" ht="15.75">
      <c r="U32" s="57">
        <v>0</v>
      </c>
      <c r="V32" s="60">
        <v>0</v>
      </c>
      <c r="AA32" s="1" t="s">
        <v>100</v>
      </c>
      <c r="AB32" s="89">
        <f>204*10^6*AB33</f>
        <v>3.2639999999999997E-11</v>
      </c>
      <c r="AC32" s="1" t="s">
        <v>72</v>
      </c>
      <c r="AE32" s="127">
        <v>4</v>
      </c>
      <c r="AF32" s="57">
        <f t="shared" si="1"/>
        <v>3.805835921350013</v>
      </c>
      <c r="AG32" s="60">
        <f aca="true" t="shared" si="2" ref="AG32:AG38">$AG$19+$AG$26*SIN(AE32*$AG$25)</f>
        <v>0.6410684605501935</v>
      </c>
      <c r="AH32" s="144">
        <f>AH31</f>
        <v>7.2</v>
      </c>
      <c r="AI32" s="129">
        <f>AK31</f>
        <v>2.5</v>
      </c>
      <c r="AJ32" s="14">
        <f>AJ23+AK28/2</f>
        <v>7.7</v>
      </c>
      <c r="AK32" s="60">
        <f>AK31</f>
        <v>2.5</v>
      </c>
    </row>
    <row r="33" spans="21:37" ht="15.75">
      <c r="U33" s="67" t="s">
        <v>4</v>
      </c>
      <c r="V33" s="69" t="s">
        <v>5</v>
      </c>
      <c r="AA33" s="1" t="s">
        <v>70</v>
      </c>
      <c r="AB33" s="89">
        <v>1.6E-19</v>
      </c>
      <c r="AC33" s="1" t="s">
        <v>71</v>
      </c>
      <c r="AE33" s="127">
        <v>5</v>
      </c>
      <c r="AF33" s="57">
        <f>$AG$18+$AG$26*COS(AE33*$AG$25)</f>
        <v>3.76</v>
      </c>
      <c r="AG33" s="60">
        <f t="shared" si="2"/>
        <v>0.5</v>
      </c>
      <c r="AH33" s="145">
        <f>AH31-AI29</f>
        <v>7.16</v>
      </c>
      <c r="AI33" s="130">
        <f>AI31</f>
        <v>4.5</v>
      </c>
      <c r="AJ33" s="14">
        <f>AJ32</f>
        <v>7.7</v>
      </c>
      <c r="AK33" s="60">
        <f>AG19-AG26-AI19</f>
        <v>0.22</v>
      </c>
    </row>
    <row r="34" spans="20:37" ht="15.75">
      <c r="T34" s="1">
        <v>-2</v>
      </c>
      <c r="U34" s="97">
        <f>$U$32+$T$34*$V$29</f>
        <v>-1</v>
      </c>
      <c r="V34" s="96">
        <f>$V$32</f>
        <v>0</v>
      </c>
      <c r="AE34" s="127">
        <v>6</v>
      </c>
      <c r="AF34" s="57">
        <f t="shared" si="1"/>
        <v>3.8058359213500124</v>
      </c>
      <c r="AG34" s="60">
        <f t="shared" si="2"/>
        <v>0.3589315394498065</v>
      </c>
      <c r="AH34" s="145">
        <f>AH33</f>
        <v>7.16</v>
      </c>
      <c r="AI34" s="130">
        <f>AI32</f>
        <v>2.5</v>
      </c>
      <c r="AJ34" s="14">
        <f>AJ31</f>
        <v>6.7</v>
      </c>
      <c r="AK34" s="60">
        <f>AK33</f>
        <v>0.22</v>
      </c>
    </row>
    <row r="35" spans="21:37" ht="15.75">
      <c r="U35" s="66">
        <f>$U$32+$T$34*$V$29</f>
        <v>-1</v>
      </c>
      <c r="V35" s="98">
        <f>$V$32+$V$30</f>
        <v>3</v>
      </c>
      <c r="AA35" s="1" t="s">
        <v>73</v>
      </c>
      <c r="AB35" s="89">
        <v>2000000000</v>
      </c>
      <c r="AC35" s="1" t="s">
        <v>57</v>
      </c>
      <c r="AE35" s="127">
        <v>7</v>
      </c>
      <c r="AF35" s="57">
        <f t="shared" si="1"/>
        <v>3.9258359213500125</v>
      </c>
      <c r="AG35" s="60">
        <f t="shared" si="2"/>
        <v>0.27174643608916316</v>
      </c>
      <c r="AH35" s="144">
        <f>AH33-AI29</f>
        <v>7.12</v>
      </c>
      <c r="AI35" s="129">
        <f>AI31</f>
        <v>4.5</v>
      </c>
      <c r="AJ35" s="58">
        <f>AJ31</f>
        <v>6.7</v>
      </c>
      <c r="AK35" s="140">
        <f>AK31</f>
        <v>2.5</v>
      </c>
    </row>
    <row r="36" spans="20:37" ht="15.75">
      <c r="T36" s="1">
        <v>-1</v>
      </c>
      <c r="U36" s="97">
        <f>$U$32+$T$36*$V$29</f>
        <v>-0.5</v>
      </c>
      <c r="V36" s="96">
        <f>$V$32</f>
        <v>0</v>
      </c>
      <c r="AA36" s="1" t="s">
        <v>74</v>
      </c>
      <c r="AB36" s="89">
        <f>AB35/AB32</f>
        <v>6.127450980392157E+19</v>
      </c>
      <c r="AC36" s="1" t="s">
        <v>75</v>
      </c>
      <c r="AE36" s="127">
        <v>8</v>
      </c>
      <c r="AF36" s="57">
        <f t="shared" si="1"/>
        <v>4.0741640786499875</v>
      </c>
      <c r="AG36" s="60">
        <f t="shared" si="2"/>
        <v>0.27174643608916316</v>
      </c>
      <c r="AH36" s="146">
        <f>AH35</f>
        <v>7.12</v>
      </c>
      <c r="AI36" s="131">
        <f>AI32</f>
        <v>2.5</v>
      </c>
      <c r="AJ36" s="100" t="s">
        <v>151</v>
      </c>
      <c r="AK36" s="61"/>
    </row>
    <row r="37" spans="21:37" ht="15.75">
      <c r="U37" s="66">
        <f>$U$32+$T$36*$V$29</f>
        <v>-0.5</v>
      </c>
      <c r="V37" s="98">
        <f>$V$32+$V$30</f>
        <v>3</v>
      </c>
      <c r="AA37" s="1" t="s">
        <v>76</v>
      </c>
      <c r="AB37" s="1">
        <v>0.235</v>
      </c>
      <c r="AC37" s="1" t="s">
        <v>39</v>
      </c>
      <c r="AE37" s="127">
        <v>9</v>
      </c>
      <c r="AF37" s="57">
        <f t="shared" si="1"/>
        <v>4.194164078649988</v>
      </c>
      <c r="AG37" s="60">
        <f t="shared" si="2"/>
        <v>0.3589315394498064</v>
      </c>
      <c r="AH37" s="12" t="s">
        <v>145</v>
      </c>
      <c r="AI37" s="13"/>
      <c r="AJ37" s="51" t="s">
        <v>140</v>
      </c>
      <c r="AK37" s="139">
        <v>4</v>
      </c>
    </row>
    <row r="38" spans="20:37" ht="15.75">
      <c r="T38" s="1">
        <v>0</v>
      </c>
      <c r="U38" s="97">
        <f>$U$32+$T$38*$V$29</f>
        <v>0</v>
      </c>
      <c r="V38" s="96">
        <f>$V$32</f>
        <v>0</v>
      </c>
      <c r="AA38" s="1" t="s">
        <v>78</v>
      </c>
      <c r="AB38" s="89">
        <v>6.02E+23</v>
      </c>
      <c r="AC38" s="1" t="s">
        <v>79</v>
      </c>
      <c r="AE38" s="127">
        <v>10</v>
      </c>
      <c r="AF38" s="66">
        <f t="shared" si="1"/>
        <v>4.24</v>
      </c>
      <c r="AG38" s="140">
        <f t="shared" si="2"/>
        <v>0.49999999999999994</v>
      </c>
      <c r="AH38" s="51" t="s">
        <v>132</v>
      </c>
      <c r="AI38" s="15">
        <v>1</v>
      </c>
      <c r="AJ38" s="51" t="s">
        <v>4</v>
      </c>
      <c r="AK38" s="15" t="s">
        <v>5</v>
      </c>
    </row>
    <row r="39" spans="21:37" ht="15.75">
      <c r="U39" s="66">
        <f>$U$32+$T$38*$V$29</f>
        <v>0</v>
      </c>
      <c r="V39" s="98">
        <f>$V$32+$V$30</f>
        <v>3</v>
      </c>
      <c r="AA39" s="1" t="s">
        <v>77</v>
      </c>
      <c r="AB39" s="89">
        <f>AB36/AB38*AB37</f>
        <v>2.3919451501530844E-05</v>
      </c>
      <c r="AC39" s="1" t="s">
        <v>80</v>
      </c>
      <c r="AH39" s="51" t="s">
        <v>133</v>
      </c>
      <c r="AI39" s="15">
        <f>AI19</f>
        <v>0.04</v>
      </c>
      <c r="AJ39" s="57">
        <f>AJ22</f>
        <v>5.2</v>
      </c>
      <c r="AK39" s="129">
        <f>AI23</f>
        <v>5</v>
      </c>
    </row>
    <row r="40" spans="20:37" ht="15.75">
      <c r="T40" s="1">
        <v>1</v>
      </c>
      <c r="U40" s="97">
        <f>$U$32+$T$40*$V$29</f>
        <v>0.5</v>
      </c>
      <c r="V40" s="96">
        <f>$V$32</f>
        <v>0</v>
      </c>
      <c r="AA40" s="1" t="s">
        <v>101</v>
      </c>
      <c r="AB40" s="89">
        <v>0.0001</v>
      </c>
      <c r="AC40" s="1" t="s">
        <v>3</v>
      </c>
      <c r="AH40" s="51" t="s">
        <v>4</v>
      </c>
      <c r="AI40" s="15" t="s">
        <v>5</v>
      </c>
      <c r="AJ40" s="14">
        <f>AJ39+AK37</f>
        <v>9.2</v>
      </c>
      <c r="AK40" s="129">
        <f>AK39</f>
        <v>5</v>
      </c>
    </row>
    <row r="41" spans="21:39" ht="15.75">
      <c r="U41" s="66">
        <f>$U$32+$T$40*$V$29</f>
        <v>0.5</v>
      </c>
      <c r="V41" s="98">
        <f>$V$32+$V$30</f>
        <v>3</v>
      </c>
      <c r="AA41" s="1" t="s">
        <v>119</v>
      </c>
      <c r="AH41" s="57">
        <f>AF28</f>
        <v>4.24</v>
      </c>
      <c r="AI41" s="147">
        <f>AI43+AI39</f>
        <v>0.54</v>
      </c>
      <c r="AJ41" s="12" t="s">
        <v>157</v>
      </c>
      <c r="AK41" s="138"/>
      <c r="AL41" s="138"/>
      <c r="AM41" s="13"/>
    </row>
    <row r="42" spans="20:39" ht="15.75">
      <c r="T42" s="1">
        <v>2</v>
      </c>
      <c r="U42" s="97">
        <f>$U$32+$T$42*$V$29</f>
        <v>1</v>
      </c>
      <c r="V42" s="96">
        <f>$V$32</f>
        <v>0</v>
      </c>
      <c r="AA42" s="1" t="s">
        <v>120</v>
      </c>
      <c r="AB42" s="1">
        <v>0.9936</v>
      </c>
      <c r="AH42" s="57">
        <f>AJ31</f>
        <v>6.7</v>
      </c>
      <c r="AI42" s="147">
        <f>AI41</f>
        <v>0.54</v>
      </c>
      <c r="AJ42" s="152" t="s">
        <v>152</v>
      </c>
      <c r="AK42" s="155">
        <f>AB3</f>
        <v>8.399999999999999</v>
      </c>
      <c r="AL42" s="10"/>
      <c r="AM42" s="15"/>
    </row>
    <row r="43" spans="21:39" ht="15.75">
      <c r="U43" s="66">
        <f>$U$32+$T$42*$V$29</f>
        <v>1</v>
      </c>
      <c r="V43" s="98">
        <f>$V$32+$V$30</f>
        <v>3</v>
      </c>
      <c r="AA43" s="1" t="s">
        <v>121</v>
      </c>
      <c r="AB43" s="89">
        <v>1E-12</v>
      </c>
      <c r="AC43" s="1" t="s">
        <v>3</v>
      </c>
      <c r="AH43" s="128">
        <f>AH41</f>
        <v>4.24</v>
      </c>
      <c r="AI43" s="154">
        <f>AG19</f>
        <v>0.5</v>
      </c>
      <c r="AJ43" s="152" t="s">
        <v>154</v>
      </c>
      <c r="AK43" s="10">
        <f>AK42*U1</f>
        <v>0</v>
      </c>
      <c r="AL43" s="10"/>
      <c r="AM43" s="15"/>
    </row>
    <row r="44" spans="2:39" ht="15.75">
      <c r="B44" s="183"/>
      <c r="C44" s="184"/>
      <c r="U44" s="12" t="s">
        <v>97</v>
      </c>
      <c r="V44" s="13">
        <v>0.5</v>
      </c>
      <c r="AA44" s="1" t="s">
        <v>122</v>
      </c>
      <c r="AB44" s="1">
        <f>1-AB42</f>
        <v>0.006399999999999961</v>
      </c>
      <c r="AH44" s="128">
        <f>AH42</f>
        <v>6.7</v>
      </c>
      <c r="AI44" s="154">
        <f>AI43</f>
        <v>0.5</v>
      </c>
      <c r="AJ44" s="51" t="s">
        <v>153</v>
      </c>
      <c r="AK44" s="10">
        <v>0.4</v>
      </c>
      <c r="AL44" s="10" t="s">
        <v>171</v>
      </c>
      <c r="AM44" s="15">
        <f>0.125*AK44</f>
        <v>0.05</v>
      </c>
    </row>
    <row r="45" spans="21:39" ht="15.75">
      <c r="U45" s="51" t="s">
        <v>118</v>
      </c>
      <c r="V45" s="68">
        <v>3</v>
      </c>
      <c r="AA45" s="1" t="s">
        <v>123</v>
      </c>
      <c r="AB45" s="1">
        <v>60</v>
      </c>
      <c r="AC45" s="1" t="s">
        <v>3</v>
      </c>
      <c r="AH45" s="57">
        <f>AH43</f>
        <v>4.24</v>
      </c>
      <c r="AI45" s="147">
        <f>AI43-AI39</f>
        <v>0.46</v>
      </c>
      <c r="AJ45" s="91" t="s">
        <v>4</v>
      </c>
      <c r="AK45" s="150" t="s">
        <v>5</v>
      </c>
      <c r="AL45" s="150" t="s">
        <v>155</v>
      </c>
      <c r="AM45" s="153" t="s">
        <v>156</v>
      </c>
    </row>
    <row r="46" spans="2:39" ht="15.75">
      <c r="B46" s="11" t="s">
        <v>135</v>
      </c>
      <c r="C46" s="1" t="s">
        <v>136</v>
      </c>
      <c r="E46" s="11" t="s">
        <v>137</v>
      </c>
      <c r="U46" s="51" t="s">
        <v>117</v>
      </c>
      <c r="V46" s="15">
        <v>0.05</v>
      </c>
      <c r="AA46" s="2" t="s">
        <v>55</v>
      </c>
      <c r="AB46" s="116">
        <f>1/0.9936-0.05+0.001*E3</f>
        <v>1.0064412238325282</v>
      </c>
      <c r="AH46" s="66">
        <f>AH44</f>
        <v>6.7</v>
      </c>
      <c r="AI46" s="148">
        <f>AI45</f>
        <v>0.46</v>
      </c>
      <c r="AJ46" s="57">
        <f>AJ22+AK44</f>
        <v>5.6000000000000005</v>
      </c>
      <c r="AK46" s="149">
        <f>$AK$39+AL46*COS($AK$42*$U$1+AM46)</f>
        <v>5.225</v>
      </c>
      <c r="AL46" s="10">
        <f>$AK$19/2*0.9</f>
        <v>0.225</v>
      </c>
      <c r="AM46" s="68">
        <v>0</v>
      </c>
    </row>
    <row r="47" spans="2:39" ht="15.75">
      <c r="B47" s="135">
        <v>1.0064</v>
      </c>
      <c r="C47" s="135">
        <f>B47*H47</f>
        <v>0.99995904</v>
      </c>
      <c r="D47" s="59"/>
      <c r="E47" s="136">
        <f>B47*H48</f>
        <v>0.00644096</v>
      </c>
      <c r="H47" s="1">
        <v>0.9936</v>
      </c>
      <c r="U47" s="51" t="s">
        <v>61</v>
      </c>
      <c r="V47" s="15" t="s">
        <v>62</v>
      </c>
      <c r="AA47" s="1" t="s">
        <v>124</v>
      </c>
      <c r="AB47" s="89">
        <f>(0.9936*AB46)^(AB40/AB43)+(0.0064*AB46)^(AB40/AB45)</f>
        <v>1.9999915916408157</v>
      </c>
      <c r="AH47" s="12" t="s">
        <v>149</v>
      </c>
      <c r="AI47" s="13"/>
      <c r="AJ47" s="57">
        <f>AJ46</f>
        <v>5.6000000000000005</v>
      </c>
      <c r="AK47" s="149">
        <f>$AK$39-+AL46*COS($AK$42*$U$1+AM47)</f>
        <v>4.775</v>
      </c>
      <c r="AL47" s="10">
        <f>$AK$19/2*0.9</f>
        <v>0.225</v>
      </c>
      <c r="AM47" s="68">
        <v>0</v>
      </c>
    </row>
    <row r="48" spans="2:39" ht="15.75">
      <c r="B48" s="11">
        <v>1</v>
      </c>
      <c r="C48" s="135">
        <f>B48*H47</f>
        <v>0.9936</v>
      </c>
      <c r="D48" s="59"/>
      <c r="E48" s="136">
        <f>B48*H48</f>
        <v>0.0064</v>
      </c>
      <c r="H48" s="1">
        <v>0.0064</v>
      </c>
      <c r="U48" s="57">
        <v>0</v>
      </c>
      <c r="V48" s="60">
        <f>0+E3/100*V45</f>
        <v>1.5</v>
      </c>
      <c r="AH48" s="51" t="s">
        <v>132</v>
      </c>
      <c r="AI48" s="15"/>
      <c r="AJ48" s="97">
        <f>AJ46+AK44</f>
        <v>6.000000000000001</v>
      </c>
      <c r="AK48" s="151">
        <f>$AK$39+AL48*COS($AK$42*$U$1+AM48)</f>
        <v>5.254066871440604</v>
      </c>
      <c r="AL48" s="138">
        <f>AL46+AM44</f>
        <v>0.275</v>
      </c>
      <c r="AM48" s="143">
        <f>PI()/8</f>
        <v>0.39269908169872414</v>
      </c>
    </row>
    <row r="49" spans="21:39" ht="15.75">
      <c r="U49" s="67" t="s">
        <v>4</v>
      </c>
      <c r="V49" s="69" t="s">
        <v>5</v>
      </c>
      <c r="AA49" s="1" t="s">
        <v>173</v>
      </c>
      <c r="AB49" s="89">
        <f>AB28*AB31</f>
        <v>900000000</v>
      </c>
      <c r="AC49" s="1" t="s">
        <v>57</v>
      </c>
      <c r="AF49" s="11"/>
      <c r="AG49" s="11"/>
      <c r="AH49" s="51" t="s">
        <v>133</v>
      </c>
      <c r="AI49" s="15">
        <f>AI19</f>
        <v>0.04</v>
      </c>
      <c r="AJ49" s="66">
        <f>AJ48</f>
        <v>6.000000000000001</v>
      </c>
      <c r="AK49" s="148">
        <f>$AK$39-AL49*COS($AK$42*$U$1+AM49)</f>
        <v>4.745933128559396</v>
      </c>
      <c r="AL49" s="150">
        <f>AL48</f>
        <v>0.275</v>
      </c>
      <c r="AM49" s="98">
        <f>AM48</f>
        <v>0.39269908169872414</v>
      </c>
    </row>
    <row r="50" spans="20:39" ht="15.75">
      <c r="T50" s="1">
        <v>-2.5</v>
      </c>
      <c r="U50" s="112">
        <f>$U$48+$T$50*$V$44</f>
        <v>-1.25</v>
      </c>
      <c r="V50" s="113">
        <f>V48</f>
        <v>1.5</v>
      </c>
      <c r="AA50" s="1" t="s">
        <v>102</v>
      </c>
      <c r="AF50" s="11"/>
      <c r="AG50" s="11"/>
      <c r="AH50" s="51" t="s">
        <v>4</v>
      </c>
      <c r="AI50" s="15" t="s">
        <v>5</v>
      </c>
      <c r="AJ50" s="97">
        <f>AJ48+AK44</f>
        <v>6.400000000000001</v>
      </c>
      <c r="AK50" s="151">
        <f>$AK$39+AL50*COS($AK$42*$U$1+AM50)</f>
        <v>5.229809703885628</v>
      </c>
      <c r="AL50" s="138">
        <f>AL48+AM44</f>
        <v>0.325</v>
      </c>
      <c r="AM50" s="143">
        <f>2*PI()/8</f>
        <v>0.7853981633974483</v>
      </c>
    </row>
    <row r="51" spans="21:39" ht="15.75">
      <c r="U51" s="112">
        <f>$U$48+$T$50*$V$44+$V$46</f>
        <v>-1.2</v>
      </c>
      <c r="V51" s="113">
        <f>V48</f>
        <v>1.5</v>
      </c>
      <c r="AA51" s="1" t="s">
        <v>186</v>
      </c>
      <c r="AB51" s="89">
        <v>3000000000</v>
      </c>
      <c r="AC51" s="1" t="s">
        <v>57</v>
      </c>
      <c r="AF51" s="11"/>
      <c r="AG51" s="11"/>
      <c r="AH51" s="57">
        <f>U70</f>
        <v>2</v>
      </c>
      <c r="AI51" s="129">
        <f>AI53+AI49</f>
        <v>0.54</v>
      </c>
      <c r="AJ51" s="66">
        <f>AJ50</f>
        <v>6.400000000000001</v>
      </c>
      <c r="AK51" s="148">
        <f>$AK$39-AL51*COS($AK$42*$U$1+AM51)</f>
        <v>4.770190296114372</v>
      </c>
      <c r="AL51" s="150">
        <f>AL50</f>
        <v>0.325</v>
      </c>
      <c r="AM51" s="98">
        <f>AM50</f>
        <v>0.7853981633974483</v>
      </c>
    </row>
    <row r="52" spans="21:39" ht="15.75">
      <c r="U52" s="112">
        <f>U51</f>
        <v>-1.2</v>
      </c>
      <c r="V52" s="114">
        <f>$V$48+$V$45</f>
        <v>4.5</v>
      </c>
      <c r="AA52" s="1" t="s">
        <v>106</v>
      </c>
      <c r="AB52" s="89">
        <f>MIN((1-AB28)*AB31,AB51)</f>
        <v>2099999999.9999998</v>
      </c>
      <c r="AC52" s="1" t="s">
        <v>57</v>
      </c>
      <c r="AH52" s="57">
        <f>AF32</f>
        <v>3.805835921350013</v>
      </c>
      <c r="AI52" s="129">
        <f>AI51</f>
        <v>0.54</v>
      </c>
      <c r="AJ52" s="97">
        <f>AJ50+AK44</f>
        <v>6.800000000000002</v>
      </c>
      <c r="AK52" s="151">
        <f>$AK$39+AL52*COS($AK$42*$U$1+AM52)</f>
        <v>5.143506287136908</v>
      </c>
      <c r="AL52" s="138">
        <f>AL50+AM44</f>
        <v>0.375</v>
      </c>
      <c r="AM52" s="143">
        <f>3*PI()/8</f>
        <v>1.1780972450961724</v>
      </c>
    </row>
    <row r="53" spans="21:39" ht="15.75">
      <c r="U53" s="112">
        <f>U50</f>
        <v>-1.25</v>
      </c>
      <c r="V53" s="114">
        <f>$V$48+$V$45</f>
        <v>4.5</v>
      </c>
      <c r="AA53" s="1" t="s">
        <v>174</v>
      </c>
      <c r="AB53" s="89">
        <f>AB31-AB52-AB49</f>
        <v>0</v>
      </c>
      <c r="AH53" s="128">
        <f>AH51</f>
        <v>2</v>
      </c>
      <c r="AI53" s="130">
        <f>AG19</f>
        <v>0.5</v>
      </c>
      <c r="AJ53" s="66">
        <f>AJ52</f>
        <v>6.800000000000002</v>
      </c>
      <c r="AK53" s="148">
        <f>$AK$39-AL53*COS($AK$42*$U$1+AM53)</f>
        <v>4.856493712863092</v>
      </c>
      <c r="AL53" s="150">
        <f>AL52</f>
        <v>0.375</v>
      </c>
      <c r="AM53" s="98">
        <f>AM52</f>
        <v>1.1780972450961724</v>
      </c>
    </row>
    <row r="54" spans="21:37" ht="15.75">
      <c r="U54" s="112">
        <f>U50</f>
        <v>-1.25</v>
      </c>
      <c r="V54" s="113">
        <f>V50</f>
        <v>1.5</v>
      </c>
      <c r="AA54" s="1" t="s">
        <v>107</v>
      </c>
      <c r="AB54" s="89">
        <v>4180</v>
      </c>
      <c r="AC54" s="1" t="s">
        <v>103</v>
      </c>
      <c r="AH54" s="128">
        <f>AH52</f>
        <v>3.805835921350013</v>
      </c>
      <c r="AI54" s="154">
        <f>AI53</f>
        <v>0.5</v>
      </c>
      <c r="AJ54" s="100" t="s">
        <v>158</v>
      </c>
      <c r="AK54" s="61"/>
    </row>
    <row r="55" spans="20:37" ht="15.75">
      <c r="T55" s="1">
        <v>-1.5</v>
      </c>
      <c r="U55" s="112">
        <f>$U$48+$T$55*$V$44</f>
        <v>-0.75</v>
      </c>
      <c r="V55" s="113">
        <f>$V$48</f>
        <v>1.5</v>
      </c>
      <c r="AA55" s="1" t="s">
        <v>108</v>
      </c>
      <c r="AB55" s="1">
        <v>1000</v>
      </c>
      <c r="AH55" s="57">
        <f>AH53</f>
        <v>2</v>
      </c>
      <c r="AI55" s="147">
        <f>AI53-AI49</f>
        <v>0.46</v>
      </c>
      <c r="AJ55" s="14"/>
      <c r="AK55" s="70"/>
    </row>
    <row r="56" spans="21:37" ht="15.75">
      <c r="U56" s="112">
        <f>$U$48+$T$55*$V$44</f>
        <v>-0.75</v>
      </c>
      <c r="V56" s="114">
        <f>$V$48+$V$45</f>
        <v>4.5</v>
      </c>
      <c r="AA56" s="1" t="s">
        <v>105</v>
      </c>
      <c r="AB56" s="170">
        <f>MAX(20,286+AB53*U1/AB55/AB54)</f>
        <v>286</v>
      </c>
      <c r="AC56" s="1" t="s">
        <v>104</v>
      </c>
      <c r="AH56" s="66">
        <f>AH54</f>
        <v>3.805835921350013</v>
      </c>
      <c r="AI56" s="148">
        <f>AI55</f>
        <v>0.46</v>
      </c>
      <c r="AJ56" s="14" t="s">
        <v>147</v>
      </c>
      <c r="AK56" s="70">
        <v>1</v>
      </c>
    </row>
    <row r="57" spans="20:37" ht="15.75">
      <c r="T57" s="1">
        <v>-0.5</v>
      </c>
      <c r="U57" s="112">
        <f>$U$48+$T$57*$V$44</f>
        <v>-0.25</v>
      </c>
      <c r="V57" s="113">
        <f>$V$48</f>
        <v>1.5</v>
      </c>
      <c r="AA57" s="1" t="s">
        <v>105</v>
      </c>
      <c r="AB57" s="127">
        <f>273+AB56</f>
        <v>559</v>
      </c>
      <c r="AC57" s="1" t="s">
        <v>111</v>
      </c>
      <c r="AJ57" s="14" t="s">
        <v>4</v>
      </c>
      <c r="AK57" s="70" t="s">
        <v>5</v>
      </c>
    </row>
    <row r="58" spans="21:37" ht="15.75">
      <c r="U58" s="112">
        <f>$U$48+$T$57*$V$44</f>
        <v>-0.25</v>
      </c>
      <c r="V58" s="114">
        <f>$V$48+$V$45</f>
        <v>4.5</v>
      </c>
      <c r="AA58" s="1" t="s">
        <v>112</v>
      </c>
      <c r="AB58" s="89">
        <f>2260000/1000*18</f>
        <v>40680</v>
      </c>
      <c r="AC58" s="1" t="s">
        <v>113</v>
      </c>
      <c r="AJ58" s="128">
        <f>AJ23+0.5</f>
        <v>7.7</v>
      </c>
      <c r="AK58" s="70">
        <f>AK39+AK56/2</f>
        <v>5.5</v>
      </c>
    </row>
    <row r="59" spans="20:37" ht="15.75">
      <c r="T59" s="1">
        <v>0.5</v>
      </c>
      <c r="U59" s="112">
        <f>$U$48+$T$59*$V$44</f>
        <v>0.25</v>
      </c>
      <c r="V59" s="113">
        <f>$V$48</f>
        <v>1.5</v>
      </c>
      <c r="AA59" s="1" t="s">
        <v>110</v>
      </c>
      <c r="AB59" s="1">
        <v>8.3145</v>
      </c>
      <c r="AJ59" s="57">
        <f>AJ40</f>
        <v>9.2</v>
      </c>
      <c r="AK59" s="70">
        <f>AK58</f>
        <v>5.5</v>
      </c>
    </row>
    <row r="60" spans="21:37" ht="15.75">
      <c r="U60" s="112">
        <f>$U$48+$T$59*$V$44</f>
        <v>0.25</v>
      </c>
      <c r="V60" s="114">
        <f>$V$48+$V$45</f>
        <v>4.5</v>
      </c>
      <c r="AA60" s="82" t="s">
        <v>190</v>
      </c>
      <c r="AB60" s="177">
        <v>-4911.1</v>
      </c>
      <c r="AD60" s="89"/>
      <c r="AJ60" s="14">
        <f>AJ59</f>
        <v>9.2</v>
      </c>
      <c r="AK60" s="70">
        <f>AK39-AK56/2</f>
        <v>4.5</v>
      </c>
    </row>
    <row r="61" spans="20:37" ht="15.75">
      <c r="T61" s="1">
        <v>1.5</v>
      </c>
      <c r="U61" s="112">
        <f>$U$48+$T$61*$V$44</f>
        <v>0.75</v>
      </c>
      <c r="V61" s="113">
        <f>$V$48</f>
        <v>1.5</v>
      </c>
      <c r="AA61" s="1" t="s">
        <v>191</v>
      </c>
      <c r="AB61" s="169">
        <f>(100000+4.8951*10^10*EXP(AB60/AB57))/100000</f>
        <v>75.86229286805887</v>
      </c>
      <c r="AC61" s="1" t="s">
        <v>109</v>
      </c>
      <c r="AJ61" s="57">
        <f>AJ58</f>
        <v>7.7</v>
      </c>
      <c r="AK61" s="70">
        <f>AK60</f>
        <v>4.5</v>
      </c>
    </row>
    <row r="62" spans="21:37" ht="15.75">
      <c r="U62" s="112">
        <f>$U$48+$T$61*$V$44</f>
        <v>0.75</v>
      </c>
      <c r="V62" s="114">
        <f>$V$48+$V$45</f>
        <v>4.5</v>
      </c>
      <c r="AJ62" s="66">
        <f>AJ58</f>
        <v>7.7</v>
      </c>
      <c r="AK62" s="50">
        <f>AK58</f>
        <v>5.5</v>
      </c>
    </row>
    <row r="63" spans="20:37" ht="15.75">
      <c r="T63" s="1">
        <v>2.5</v>
      </c>
      <c r="U63" s="112">
        <f>$U$48+$T$63*$V$44</f>
        <v>1.25</v>
      </c>
      <c r="V63" s="113">
        <f>$V$48</f>
        <v>1.5</v>
      </c>
      <c r="AJ63" s="100" t="s">
        <v>159</v>
      </c>
      <c r="AK63" s="61"/>
    </row>
    <row r="64" spans="21:37" ht="15.75">
      <c r="U64" s="115">
        <f>$U$48+$T$63*$V$44</f>
        <v>1.25</v>
      </c>
      <c r="V64" s="162">
        <f>$V$48+$V$45</f>
        <v>4.5</v>
      </c>
      <c r="W64" s="12" t="s">
        <v>175</v>
      </c>
      <c r="X64" s="165" t="s">
        <v>178</v>
      </c>
      <c r="Y64" s="13">
        <v>1</v>
      </c>
      <c r="AA64" s="11"/>
      <c r="AB64" s="11"/>
      <c r="AJ64" s="14" t="s">
        <v>160</v>
      </c>
      <c r="AK64" s="60">
        <f>AJ59-AJ58-0.2</f>
        <v>1.2999999999999992</v>
      </c>
    </row>
    <row r="65" spans="21:37" ht="15.75">
      <c r="U65" s="100" t="s">
        <v>68</v>
      </c>
      <c r="V65" s="163">
        <v>4</v>
      </c>
      <c r="W65" s="51" t="s">
        <v>184</v>
      </c>
      <c r="X65" s="166" t="s">
        <v>179</v>
      </c>
      <c r="Y65" s="15">
        <f>IF(AB61&gt;500,0.5*Y64*U1^2,0)</f>
        <v>0</v>
      </c>
      <c r="AA65" s="11"/>
      <c r="AB65" s="88"/>
      <c r="AC65" s="89"/>
      <c r="AD65" s="89"/>
      <c r="AE65" s="4"/>
      <c r="AJ65" s="14" t="s">
        <v>161</v>
      </c>
      <c r="AK65" s="70">
        <v>0.6</v>
      </c>
    </row>
    <row r="66" spans="21:37" ht="15.75">
      <c r="U66" s="14" t="s">
        <v>67</v>
      </c>
      <c r="V66" s="149">
        <v>5.5</v>
      </c>
      <c r="W66" s="51" t="s">
        <v>167</v>
      </c>
      <c r="X66" s="10">
        <v>0</v>
      </c>
      <c r="Y66" s="15"/>
      <c r="AA66" s="11"/>
      <c r="AB66" s="88"/>
      <c r="AC66" s="89"/>
      <c r="AD66" s="89"/>
      <c r="AE66" s="4"/>
      <c r="AJ66" s="14" t="s">
        <v>4</v>
      </c>
      <c r="AK66" s="70" t="s">
        <v>5</v>
      </c>
    </row>
    <row r="67" spans="21:37" ht="15.75">
      <c r="U67" s="14" t="s">
        <v>4</v>
      </c>
      <c r="V67" s="149" t="s">
        <v>5</v>
      </c>
      <c r="W67" s="51" t="s">
        <v>168</v>
      </c>
      <c r="X67" s="10">
        <f>V66</f>
        <v>5.5</v>
      </c>
      <c r="Y67" s="15"/>
      <c r="AA67" s="11"/>
      <c r="AB67" s="88"/>
      <c r="AC67" s="89"/>
      <c r="AD67" s="89"/>
      <c r="AE67" s="4"/>
      <c r="AJ67" s="57">
        <f>AJ58+0.2</f>
        <v>7.9</v>
      </c>
      <c r="AK67" s="60">
        <f>AK39+AK65/2*COS(AK43)</f>
        <v>5.3</v>
      </c>
    </row>
    <row r="68" spans="21:37" ht="15.75">
      <c r="U68" s="14">
        <f>-$V$65/2</f>
        <v>-2</v>
      </c>
      <c r="V68" s="149">
        <f>V66</f>
        <v>5.5</v>
      </c>
      <c r="W68" s="51" t="s">
        <v>169</v>
      </c>
      <c r="X68" s="10">
        <f>V65/2</f>
        <v>2</v>
      </c>
      <c r="Y68" s="15"/>
      <c r="AA68" s="11"/>
      <c r="AB68" s="88"/>
      <c r="AC68" s="89"/>
      <c r="AD68" s="89"/>
      <c r="AE68" s="4"/>
      <c r="AJ68" s="57">
        <f>AJ59-0.2</f>
        <v>9</v>
      </c>
      <c r="AK68" s="60">
        <f>AK67</f>
        <v>5.3</v>
      </c>
    </row>
    <row r="69" spans="21:37" ht="15.75">
      <c r="U69" s="14">
        <f>U68</f>
        <v>-2</v>
      </c>
      <c r="V69" s="149">
        <v>0</v>
      </c>
      <c r="W69" s="51" t="s">
        <v>170</v>
      </c>
      <c r="X69" s="10">
        <f>PI()/10</f>
        <v>0.3141592653589793</v>
      </c>
      <c r="Y69" s="15"/>
      <c r="AA69" s="11"/>
      <c r="AB69" s="88"/>
      <c r="AC69" s="89"/>
      <c r="AD69" s="89"/>
      <c r="AE69" s="4"/>
      <c r="AJ69" s="57">
        <f>AJ68</f>
        <v>9</v>
      </c>
      <c r="AK69" s="70">
        <f>AK39-AK65/2*COS(AK43)</f>
        <v>4.7</v>
      </c>
    </row>
    <row r="70" spans="21:37" ht="15.75">
      <c r="U70" s="14">
        <f>-U69</f>
        <v>2</v>
      </c>
      <c r="V70" s="149">
        <v>0</v>
      </c>
      <c r="W70" s="51"/>
      <c r="X70" s="10" t="s">
        <v>4</v>
      </c>
      <c r="Y70" s="70" t="s">
        <v>5</v>
      </c>
      <c r="AJ70" s="57">
        <f>AJ67</f>
        <v>7.9</v>
      </c>
      <c r="AK70" s="70">
        <f>AK69</f>
        <v>4.7</v>
      </c>
    </row>
    <row r="71" spans="21:37" ht="15.75">
      <c r="U71" s="14">
        <f>U70</f>
        <v>2</v>
      </c>
      <c r="V71" s="149">
        <f>V68</f>
        <v>5.5</v>
      </c>
      <c r="W71" s="14">
        <v>0</v>
      </c>
      <c r="X71" s="137">
        <f>$X$66-$X$68*COS(W71*$X$69)</f>
        <v>-2</v>
      </c>
      <c r="Y71" s="60">
        <f>$X$67+$X$68*SIN(W71*$X$69)+$Y$65</f>
        <v>5.5</v>
      </c>
      <c r="AJ71" s="58">
        <f>AJ67</f>
        <v>7.9</v>
      </c>
      <c r="AK71" s="140">
        <f>AK67</f>
        <v>5.3</v>
      </c>
    </row>
    <row r="72" spans="21:37" ht="15.75">
      <c r="U72" s="58"/>
      <c r="V72" s="164"/>
      <c r="W72" s="14">
        <v>1</v>
      </c>
      <c r="X72" s="137">
        <f aca="true" t="shared" si="3" ref="X72:X81">$X$66-$X$68*COS(W72*$X$69)</f>
        <v>-1.902113032590307</v>
      </c>
      <c r="Y72" s="60">
        <f aca="true" t="shared" si="4" ref="Y72:Y81">$X$67+$X$68*SIN(W72*$X$69)+$Y$65</f>
        <v>6.118033988749895</v>
      </c>
      <c r="AJ72" s="99" t="s">
        <v>162</v>
      </c>
      <c r="AK72" s="61">
        <v>0.05</v>
      </c>
    </row>
    <row r="73" spans="21:37" ht="15.75">
      <c r="U73" s="100" t="s">
        <v>66</v>
      </c>
      <c r="V73" s="163">
        <v>4</v>
      </c>
      <c r="W73" s="14">
        <v>2</v>
      </c>
      <c r="X73" s="137">
        <f t="shared" si="3"/>
        <v>-1.618033988749895</v>
      </c>
      <c r="Y73" s="60">
        <f t="shared" si="4"/>
        <v>6.675570504584947</v>
      </c>
      <c r="AJ73" s="14" t="s">
        <v>4</v>
      </c>
      <c r="AK73" s="70" t="s">
        <v>5</v>
      </c>
    </row>
    <row r="74" spans="21:37" ht="15.75">
      <c r="U74" s="14" t="s">
        <v>64</v>
      </c>
      <c r="V74" s="149">
        <v>3.5</v>
      </c>
      <c r="W74" s="14">
        <v>3</v>
      </c>
      <c r="X74" s="137">
        <f t="shared" si="3"/>
        <v>-1.1755705045849463</v>
      </c>
      <c r="Y74" s="60">
        <f t="shared" si="4"/>
        <v>7.118033988749895</v>
      </c>
      <c r="AJ74" s="57">
        <f>AJ67</f>
        <v>7.9</v>
      </c>
      <c r="AK74" s="156">
        <f>AK58-AK72</f>
        <v>5.45</v>
      </c>
    </row>
    <row r="75" spans="21:37" ht="15.75">
      <c r="U75" s="14" t="s">
        <v>65</v>
      </c>
      <c r="V75" s="147">
        <f>V74/75</f>
        <v>0.04666666666666667</v>
      </c>
      <c r="W75" s="14">
        <v>4</v>
      </c>
      <c r="X75" s="137">
        <f t="shared" si="3"/>
        <v>-0.6180339887498949</v>
      </c>
      <c r="Y75" s="60">
        <f t="shared" si="4"/>
        <v>7.402113032590307</v>
      </c>
      <c r="AJ75" s="57">
        <f>AJ68</f>
        <v>9</v>
      </c>
      <c r="AK75" s="70">
        <f>AK74</f>
        <v>5.45</v>
      </c>
    </row>
    <row r="76" spans="21:37" ht="15.75">
      <c r="U76" s="14" t="s">
        <v>4</v>
      </c>
      <c r="V76" s="149" t="s">
        <v>5</v>
      </c>
      <c r="W76" s="14">
        <v>5</v>
      </c>
      <c r="X76" s="137">
        <f t="shared" si="3"/>
        <v>-1.22514845490862E-16</v>
      </c>
      <c r="Y76" s="60">
        <f t="shared" si="4"/>
        <v>7.5</v>
      </c>
      <c r="AJ76" s="57">
        <f>AJ75</f>
        <v>9</v>
      </c>
      <c r="AK76" s="53">
        <f>AK74-AK72</f>
        <v>5.4</v>
      </c>
    </row>
    <row r="77" spans="20:37" ht="15.75">
      <c r="T77" s="1">
        <v>1</v>
      </c>
      <c r="U77" s="111">
        <f>-$V$73/2</f>
        <v>-2</v>
      </c>
      <c r="V77" s="157">
        <v>0</v>
      </c>
      <c r="W77" s="14">
        <v>6</v>
      </c>
      <c r="X77" s="137">
        <f t="shared" si="3"/>
        <v>0.6180339887498947</v>
      </c>
      <c r="Y77" s="60">
        <f t="shared" si="4"/>
        <v>7.402113032590307</v>
      </c>
      <c r="AJ77" s="57">
        <f>AJ74</f>
        <v>7.9</v>
      </c>
      <c r="AK77" s="53">
        <f>AK76</f>
        <v>5.4</v>
      </c>
    </row>
    <row r="78" spans="20:37" ht="15.75">
      <c r="T78" s="1">
        <v>2</v>
      </c>
      <c r="U78" s="111">
        <f>-U77</f>
        <v>2</v>
      </c>
      <c r="V78" s="157">
        <f>V77</f>
        <v>0</v>
      </c>
      <c r="W78" s="14">
        <v>7</v>
      </c>
      <c r="X78" s="137">
        <f t="shared" si="3"/>
        <v>1.175570504584946</v>
      </c>
      <c r="Y78" s="60">
        <f t="shared" si="4"/>
        <v>7.118033988749895</v>
      </c>
      <c r="AJ78" s="57">
        <f>AJ74</f>
        <v>7.9</v>
      </c>
      <c r="AK78" s="70">
        <f>AK74</f>
        <v>5.45</v>
      </c>
    </row>
    <row r="79" spans="20:37" ht="15.75">
      <c r="T79" s="1">
        <v>3</v>
      </c>
      <c r="U79" s="111">
        <f>U78</f>
        <v>2</v>
      </c>
      <c r="V79" s="157">
        <f>V78+$V$75</f>
        <v>0.04666666666666667</v>
      </c>
      <c r="W79" s="14">
        <v>8</v>
      </c>
      <c r="X79" s="137">
        <f t="shared" si="3"/>
        <v>1.6180339887498947</v>
      </c>
      <c r="Y79" s="60">
        <f t="shared" si="4"/>
        <v>6.675570504584947</v>
      </c>
      <c r="AJ79" s="99" t="s">
        <v>163</v>
      </c>
      <c r="AK79" s="61"/>
    </row>
    <row r="80" spans="20:37" ht="15.75">
      <c r="T80" s="1">
        <v>4</v>
      </c>
      <c r="U80" s="111">
        <f>U77</f>
        <v>-2</v>
      </c>
      <c r="V80" s="157">
        <f>V79</f>
        <v>0.04666666666666667</v>
      </c>
      <c r="W80" s="14">
        <v>9</v>
      </c>
      <c r="X80" s="137">
        <f t="shared" si="3"/>
        <v>1.902113032590307</v>
      </c>
      <c r="Y80" s="60">
        <f t="shared" si="4"/>
        <v>6.118033988749895</v>
      </c>
      <c r="AJ80" s="57">
        <f>AJ74</f>
        <v>7.9</v>
      </c>
      <c r="AK80" s="70">
        <f>AK60+AK72</f>
        <v>4.55</v>
      </c>
    </row>
    <row r="81" spans="20:37" ht="15.75">
      <c r="T81" s="1">
        <v>5</v>
      </c>
      <c r="U81" s="14">
        <f>U77</f>
        <v>-2</v>
      </c>
      <c r="V81" s="157">
        <f>V80+$V$75</f>
        <v>0.09333333333333334</v>
      </c>
      <c r="W81" s="58">
        <v>10</v>
      </c>
      <c r="X81" s="159">
        <f t="shared" si="3"/>
        <v>2</v>
      </c>
      <c r="Y81" s="60">
        <f t="shared" si="4"/>
        <v>5.5</v>
      </c>
      <c r="AJ81" s="57">
        <f>AJ75</f>
        <v>9</v>
      </c>
      <c r="AK81" s="70">
        <f>AK80</f>
        <v>4.55</v>
      </c>
    </row>
    <row r="82" spans="20:37" ht="15.75">
      <c r="T82" s="1">
        <v>6</v>
      </c>
      <c r="U82" s="14">
        <f aca="true" t="shared" si="5" ref="U82:U145">U78</f>
        <v>2</v>
      </c>
      <c r="V82" s="53">
        <f>V81</f>
        <v>0.09333333333333334</v>
      </c>
      <c r="W82" s="51" t="s">
        <v>176</v>
      </c>
      <c r="X82" s="10"/>
      <c r="Y82" s="15"/>
      <c r="AJ82" s="57">
        <f>AJ76</f>
        <v>9</v>
      </c>
      <c r="AK82" s="53">
        <f>AK80+AK72</f>
        <v>4.6</v>
      </c>
    </row>
    <row r="83" spans="20:37" ht="15.75">
      <c r="T83" s="1">
        <v>7</v>
      </c>
      <c r="U83" s="14">
        <f t="shared" si="5"/>
        <v>2</v>
      </c>
      <c r="V83" s="53">
        <f>V82+$V$75</f>
        <v>0.14</v>
      </c>
      <c r="W83" s="51" t="s">
        <v>167</v>
      </c>
      <c r="X83" s="10">
        <v>0</v>
      </c>
      <c r="Y83" s="15"/>
      <c r="AJ83" s="57">
        <f>AJ77</f>
        <v>7.9</v>
      </c>
      <c r="AK83" s="53">
        <f>AK82</f>
        <v>4.6</v>
      </c>
    </row>
    <row r="84" spans="20:37" ht="15.75">
      <c r="T84" s="10">
        <v>8</v>
      </c>
      <c r="U84" s="14">
        <f t="shared" si="5"/>
        <v>-2</v>
      </c>
      <c r="V84" s="53">
        <f>V83</f>
        <v>0.14</v>
      </c>
      <c r="W84" s="51" t="s">
        <v>168</v>
      </c>
      <c r="X84" s="10">
        <v>0</v>
      </c>
      <c r="Y84" s="15"/>
      <c r="AJ84" s="57">
        <f>AJ78</f>
        <v>7.9</v>
      </c>
      <c r="AK84" s="70">
        <f>AK80</f>
        <v>4.55</v>
      </c>
    </row>
    <row r="85" spans="20:37" ht="15.75">
      <c r="T85" s="10">
        <v>9</v>
      </c>
      <c r="U85" s="14">
        <f t="shared" si="5"/>
        <v>-2</v>
      </c>
      <c r="V85" s="53">
        <f>V84+$V$75</f>
        <v>0.18666666666666668</v>
      </c>
      <c r="W85" s="51" t="s">
        <v>169</v>
      </c>
      <c r="X85" s="10">
        <f>V82/2</f>
        <v>0.04666666666666667</v>
      </c>
      <c r="Y85" s="15"/>
      <c r="AI85" s="55"/>
      <c r="AJ85" s="138" t="s">
        <v>164</v>
      </c>
      <c r="AK85" s="13"/>
    </row>
    <row r="86" spans="20:37" ht="15.75">
      <c r="T86" s="10">
        <v>10</v>
      </c>
      <c r="U86" s="14">
        <f t="shared" si="5"/>
        <v>2</v>
      </c>
      <c r="V86" s="53">
        <f>V85</f>
        <v>0.18666666666666668</v>
      </c>
      <c r="W86" s="51" t="s">
        <v>170</v>
      </c>
      <c r="X86" s="10">
        <f>PI()/10</f>
        <v>0.3141592653589793</v>
      </c>
      <c r="Y86" s="15"/>
      <c r="AI86" s="51"/>
      <c r="AJ86" s="10" t="s">
        <v>165</v>
      </c>
      <c r="AK86" s="68">
        <f>AK87/AK88</f>
        <v>0.05</v>
      </c>
    </row>
    <row r="87" spans="20:37" ht="15.75">
      <c r="T87" s="10">
        <v>11</v>
      </c>
      <c r="U87" s="14">
        <f t="shared" si="5"/>
        <v>2</v>
      </c>
      <c r="V87" s="53">
        <f>V86+$V$75</f>
        <v>0.23333333333333334</v>
      </c>
      <c r="W87" s="51"/>
      <c r="X87" s="10" t="s">
        <v>4</v>
      </c>
      <c r="Y87" s="70" t="s">
        <v>5</v>
      </c>
      <c r="AI87" s="51"/>
      <c r="AJ87" s="10" t="s">
        <v>161</v>
      </c>
      <c r="AK87" s="15">
        <f>AK29/2</f>
        <v>1</v>
      </c>
    </row>
    <row r="88" spans="20:37" ht="15.75">
      <c r="T88" s="10">
        <v>12</v>
      </c>
      <c r="U88" s="14">
        <f t="shared" si="5"/>
        <v>-2</v>
      </c>
      <c r="V88" s="53">
        <f>V87</f>
        <v>0.23333333333333334</v>
      </c>
      <c r="W88" s="14">
        <v>0</v>
      </c>
      <c r="X88" s="137">
        <f>$X$66-$X$68*COS(W88*$X$69)</f>
        <v>-2</v>
      </c>
      <c r="Y88" s="60">
        <f>$X$84-$X$68*SIN(W88*$X$69)</f>
        <v>0</v>
      </c>
      <c r="AI88" s="51"/>
      <c r="AJ88" s="10" t="s">
        <v>166</v>
      </c>
      <c r="AK88" s="15">
        <v>20</v>
      </c>
    </row>
    <row r="89" spans="20:37" ht="15.75">
      <c r="T89" s="10">
        <v>13</v>
      </c>
      <c r="U89" s="14">
        <f t="shared" si="5"/>
        <v>-2</v>
      </c>
      <c r="V89" s="53">
        <f>V88+$V$75</f>
        <v>0.28</v>
      </c>
      <c r="W89" s="14">
        <v>1</v>
      </c>
      <c r="X89" s="137">
        <f aca="true" t="shared" si="6" ref="X89:X98">$X$66-$X$68*COS(W89*$X$69)</f>
        <v>-1.902113032590307</v>
      </c>
      <c r="Y89" s="60">
        <f aca="true" t="shared" si="7" ref="Y89:Y98">$X$84-$X$68*SIN(W89*$X$69)</f>
        <v>-0.6180339887498948</v>
      </c>
      <c r="AI89" s="51"/>
      <c r="AJ89" s="10" t="s">
        <v>4</v>
      </c>
      <c r="AK89" s="15" t="s">
        <v>5</v>
      </c>
    </row>
    <row r="90" spans="20:38" ht="15.75">
      <c r="T90" s="10">
        <v>14</v>
      </c>
      <c r="U90" s="14">
        <f t="shared" si="5"/>
        <v>2</v>
      </c>
      <c r="V90" s="53">
        <f>V89</f>
        <v>0.28</v>
      </c>
      <c r="W90" s="14">
        <v>2</v>
      </c>
      <c r="X90" s="137">
        <f t="shared" si="6"/>
        <v>-1.618033988749895</v>
      </c>
      <c r="Y90" s="60">
        <f t="shared" si="7"/>
        <v>-1.1755705045849463</v>
      </c>
      <c r="AI90" s="14">
        <v>1</v>
      </c>
      <c r="AJ90" s="157">
        <f>$AJ$35</f>
        <v>6.7</v>
      </c>
      <c r="AK90" s="53">
        <f>$AK$34+AI90*$AK$86</f>
        <v>0.27</v>
      </c>
      <c r="AL90" s="11"/>
    </row>
    <row r="91" spans="20:38" ht="15.75">
      <c r="T91" s="10">
        <v>15</v>
      </c>
      <c r="U91" s="14">
        <f t="shared" si="5"/>
        <v>2</v>
      </c>
      <c r="V91" s="53">
        <f>V90+$V$75</f>
        <v>0.3266666666666667</v>
      </c>
      <c r="W91" s="14">
        <v>3</v>
      </c>
      <c r="X91" s="137">
        <f t="shared" si="6"/>
        <v>-1.1755705045849463</v>
      </c>
      <c r="Y91" s="60">
        <f t="shared" si="7"/>
        <v>-1.618033988749895</v>
      </c>
      <c r="AI91" s="14">
        <v>1</v>
      </c>
      <c r="AJ91" s="149">
        <f>$AJ$32</f>
        <v>7.7</v>
      </c>
      <c r="AK91" s="53">
        <f>$AK$34+AI91*$AK$86</f>
        <v>0.27</v>
      </c>
      <c r="AL91" s="11"/>
    </row>
    <row r="92" spans="20:38" ht="15.75">
      <c r="T92" s="10">
        <v>16</v>
      </c>
      <c r="U92" s="14">
        <f t="shared" si="5"/>
        <v>-2</v>
      </c>
      <c r="V92" s="53">
        <f>V91</f>
        <v>0.3266666666666667</v>
      </c>
      <c r="W92" s="14">
        <v>4</v>
      </c>
      <c r="X92" s="137">
        <f t="shared" si="6"/>
        <v>-0.6180339887498949</v>
      </c>
      <c r="Y92" s="60">
        <f t="shared" si="7"/>
        <v>-1.902113032590307</v>
      </c>
      <c r="AI92" s="14">
        <f>AI90+1</f>
        <v>2</v>
      </c>
      <c r="AJ92" s="157">
        <f>AJ91</f>
        <v>7.7</v>
      </c>
      <c r="AK92" s="53">
        <f>$AK$34+AI92*$AK$86</f>
        <v>0.32</v>
      </c>
      <c r="AL92" s="11"/>
    </row>
    <row r="93" spans="20:38" ht="15.75">
      <c r="T93" s="10">
        <v>17</v>
      </c>
      <c r="U93" s="14">
        <f t="shared" si="5"/>
        <v>-2</v>
      </c>
      <c r="V93" s="53">
        <f>V92+$V$75</f>
        <v>0.3733333333333334</v>
      </c>
      <c r="W93" s="14">
        <v>5</v>
      </c>
      <c r="X93" s="137">
        <f t="shared" si="6"/>
        <v>-1.22514845490862E-16</v>
      </c>
      <c r="Y93" s="60">
        <f t="shared" si="7"/>
        <v>-2</v>
      </c>
      <c r="AI93" s="14">
        <f>AI91+1</f>
        <v>2</v>
      </c>
      <c r="AJ93" s="157">
        <f>AJ90</f>
        <v>6.7</v>
      </c>
      <c r="AK93" s="53">
        <f>$AK$34+AI93*$AK$86</f>
        <v>0.32</v>
      </c>
      <c r="AL93" s="11"/>
    </row>
    <row r="94" spans="20:38" ht="15.75">
      <c r="T94" s="10">
        <v>18</v>
      </c>
      <c r="U94" s="14">
        <f t="shared" si="5"/>
        <v>2</v>
      </c>
      <c r="V94" s="53">
        <f>V93</f>
        <v>0.3733333333333334</v>
      </c>
      <c r="W94" s="14">
        <v>6</v>
      </c>
      <c r="X94" s="137">
        <f t="shared" si="6"/>
        <v>0.6180339887498947</v>
      </c>
      <c r="Y94" s="60">
        <f t="shared" si="7"/>
        <v>-1.9021130325903073</v>
      </c>
      <c r="AI94" s="14">
        <f aca="true" t="shared" si="8" ref="AI94:AI106">AI92+1</f>
        <v>3</v>
      </c>
      <c r="AJ94" s="157">
        <f>AJ93</f>
        <v>6.7</v>
      </c>
      <c r="AK94" s="53">
        <f aca="true" t="shared" si="9" ref="AK94:AK117">$AK$34+AI94*$AK$86</f>
        <v>0.37</v>
      </c>
      <c r="AL94" s="11"/>
    </row>
    <row r="95" spans="20:38" ht="15.75">
      <c r="T95" s="10">
        <v>19</v>
      </c>
      <c r="U95" s="14">
        <f t="shared" si="5"/>
        <v>2</v>
      </c>
      <c r="V95" s="53">
        <f>V94+$V$75</f>
        <v>0.4200000000000001</v>
      </c>
      <c r="W95" s="14">
        <v>7</v>
      </c>
      <c r="X95" s="137">
        <f t="shared" si="6"/>
        <v>1.175570504584946</v>
      </c>
      <c r="Y95" s="60">
        <f t="shared" si="7"/>
        <v>-1.618033988749895</v>
      </c>
      <c r="AI95" s="14">
        <f t="shared" si="8"/>
        <v>3</v>
      </c>
      <c r="AJ95" s="157">
        <f>AJ92</f>
        <v>7.7</v>
      </c>
      <c r="AK95" s="53">
        <f t="shared" si="9"/>
        <v>0.37</v>
      </c>
      <c r="AL95" s="11"/>
    </row>
    <row r="96" spans="20:38" ht="15.75">
      <c r="T96" s="10">
        <v>20</v>
      </c>
      <c r="U96" s="14">
        <f t="shared" si="5"/>
        <v>-2</v>
      </c>
      <c r="V96" s="53">
        <f>V95</f>
        <v>0.4200000000000001</v>
      </c>
      <c r="W96" s="14">
        <v>8</v>
      </c>
      <c r="X96" s="137">
        <f t="shared" si="6"/>
        <v>1.6180339887498947</v>
      </c>
      <c r="Y96" s="60">
        <f t="shared" si="7"/>
        <v>-1.1755705045849465</v>
      </c>
      <c r="AI96" s="14">
        <f t="shared" si="8"/>
        <v>4</v>
      </c>
      <c r="AJ96" s="157">
        <f>AJ95</f>
        <v>7.7</v>
      </c>
      <c r="AK96" s="53">
        <f t="shared" si="9"/>
        <v>0.42000000000000004</v>
      </c>
      <c r="AL96" s="11"/>
    </row>
    <row r="97" spans="20:38" ht="15.75">
      <c r="T97" s="10">
        <v>21</v>
      </c>
      <c r="U97" s="14">
        <f t="shared" si="5"/>
        <v>-2</v>
      </c>
      <c r="V97" s="53">
        <f>V96+$V$75</f>
        <v>0.4666666666666668</v>
      </c>
      <c r="W97" s="14">
        <v>9</v>
      </c>
      <c r="X97" s="137">
        <f t="shared" si="6"/>
        <v>1.902113032590307</v>
      </c>
      <c r="Y97" s="60">
        <f t="shared" si="7"/>
        <v>-0.618033988749895</v>
      </c>
      <c r="AI97" s="14">
        <f t="shared" si="8"/>
        <v>4</v>
      </c>
      <c r="AJ97" s="157">
        <f>AJ94</f>
        <v>6.7</v>
      </c>
      <c r="AK97" s="53">
        <f t="shared" si="9"/>
        <v>0.42000000000000004</v>
      </c>
      <c r="AL97" s="11"/>
    </row>
    <row r="98" spans="20:38" ht="15.75">
      <c r="T98" s="10">
        <v>22</v>
      </c>
      <c r="U98" s="14">
        <f t="shared" si="5"/>
        <v>2</v>
      </c>
      <c r="V98" s="53">
        <f>V97</f>
        <v>0.4666666666666668</v>
      </c>
      <c r="W98" s="58">
        <v>10</v>
      </c>
      <c r="X98" s="159">
        <f t="shared" si="6"/>
        <v>2</v>
      </c>
      <c r="Y98" s="140">
        <f t="shared" si="7"/>
        <v>-2.45029690981724E-16</v>
      </c>
      <c r="AI98" s="14">
        <f t="shared" si="8"/>
        <v>5</v>
      </c>
      <c r="AJ98" s="157">
        <f>AJ97</f>
        <v>6.7</v>
      </c>
      <c r="AK98" s="53">
        <f t="shared" si="9"/>
        <v>0.47</v>
      </c>
      <c r="AL98" s="11"/>
    </row>
    <row r="99" spans="20:38" ht="15.75">
      <c r="T99" s="10">
        <v>23</v>
      </c>
      <c r="U99" s="14">
        <f t="shared" si="5"/>
        <v>2</v>
      </c>
      <c r="V99" s="53">
        <f>V98+$V$75</f>
        <v>0.5133333333333334</v>
      </c>
      <c r="AI99" s="14">
        <f t="shared" si="8"/>
        <v>5</v>
      </c>
      <c r="AJ99" s="157">
        <f>AJ96</f>
        <v>7.7</v>
      </c>
      <c r="AK99" s="53">
        <f t="shared" si="9"/>
        <v>0.47</v>
      </c>
      <c r="AL99" s="11"/>
    </row>
    <row r="100" spans="20:38" ht="15.75">
      <c r="T100" s="10">
        <v>24</v>
      </c>
      <c r="U100" s="14">
        <f t="shared" si="5"/>
        <v>-2</v>
      </c>
      <c r="V100" s="53">
        <f>V99</f>
        <v>0.5133333333333334</v>
      </c>
      <c r="AI100" s="14">
        <f t="shared" si="8"/>
        <v>6</v>
      </c>
      <c r="AJ100" s="157">
        <f>AJ99</f>
        <v>7.7</v>
      </c>
      <c r="AK100" s="53">
        <f t="shared" si="9"/>
        <v>0.52</v>
      </c>
      <c r="AL100" s="11"/>
    </row>
    <row r="101" spans="20:38" ht="15.75">
      <c r="T101" s="10">
        <v>25</v>
      </c>
      <c r="U101" s="14">
        <f t="shared" si="5"/>
        <v>-2</v>
      </c>
      <c r="V101" s="53">
        <f>V100+$V$75</f>
        <v>0.56</v>
      </c>
      <c r="AI101" s="14">
        <f t="shared" si="8"/>
        <v>6</v>
      </c>
      <c r="AJ101" s="157">
        <f aca="true" t="shared" si="10" ref="AJ101:AJ129">AJ98</f>
        <v>6.7</v>
      </c>
      <c r="AK101" s="53">
        <f t="shared" si="9"/>
        <v>0.52</v>
      </c>
      <c r="AL101" s="11"/>
    </row>
    <row r="102" spans="20:38" ht="15.75">
      <c r="T102" s="10">
        <v>26</v>
      </c>
      <c r="U102" s="14">
        <f t="shared" si="5"/>
        <v>2</v>
      </c>
      <c r="V102" s="53">
        <f>V101</f>
        <v>0.56</v>
      </c>
      <c r="AI102" s="14">
        <f t="shared" si="8"/>
        <v>7</v>
      </c>
      <c r="AJ102" s="157">
        <f aca="true" t="shared" si="11" ref="AJ102:AJ118">AJ101</f>
        <v>6.7</v>
      </c>
      <c r="AK102" s="53">
        <f t="shared" si="9"/>
        <v>0.5700000000000001</v>
      </c>
      <c r="AL102" s="11"/>
    </row>
    <row r="103" spans="20:38" ht="15.75">
      <c r="T103" s="10">
        <v>27</v>
      </c>
      <c r="U103" s="14">
        <f t="shared" si="5"/>
        <v>2</v>
      </c>
      <c r="V103" s="53">
        <f>V102+$V$75</f>
        <v>0.6066666666666667</v>
      </c>
      <c r="AI103" s="14">
        <f t="shared" si="8"/>
        <v>7</v>
      </c>
      <c r="AJ103" s="157">
        <f t="shared" si="10"/>
        <v>7.7</v>
      </c>
      <c r="AK103" s="53">
        <f t="shared" si="9"/>
        <v>0.5700000000000001</v>
      </c>
      <c r="AL103" s="11"/>
    </row>
    <row r="104" spans="20:38" ht="15.75">
      <c r="T104" s="10">
        <v>28</v>
      </c>
      <c r="U104" s="14">
        <f t="shared" si="5"/>
        <v>-2</v>
      </c>
      <c r="V104" s="53">
        <f>V103</f>
        <v>0.6066666666666667</v>
      </c>
      <c r="AI104" s="14">
        <f t="shared" si="8"/>
        <v>8</v>
      </c>
      <c r="AJ104" s="157">
        <f t="shared" si="11"/>
        <v>7.7</v>
      </c>
      <c r="AK104" s="53">
        <f t="shared" si="9"/>
        <v>0.62</v>
      </c>
      <c r="AL104" s="11"/>
    </row>
    <row r="105" spans="20:38" ht="15.75">
      <c r="T105" s="10">
        <v>29</v>
      </c>
      <c r="U105" s="14">
        <f t="shared" si="5"/>
        <v>-2</v>
      </c>
      <c r="V105" s="53">
        <f>V104+$V$75</f>
        <v>0.6533333333333333</v>
      </c>
      <c r="AI105" s="14">
        <f t="shared" si="8"/>
        <v>8</v>
      </c>
      <c r="AJ105" s="157">
        <f t="shared" si="10"/>
        <v>6.7</v>
      </c>
      <c r="AK105" s="53">
        <f t="shared" si="9"/>
        <v>0.62</v>
      </c>
      <c r="AL105" s="11"/>
    </row>
    <row r="106" spans="20:37" ht="15.75">
      <c r="T106" s="10">
        <v>30</v>
      </c>
      <c r="U106" s="14">
        <f t="shared" si="5"/>
        <v>2</v>
      </c>
      <c r="V106" s="53">
        <f>V105</f>
        <v>0.6533333333333333</v>
      </c>
      <c r="AI106" s="14">
        <f t="shared" si="8"/>
        <v>9</v>
      </c>
      <c r="AJ106" s="157">
        <f t="shared" si="11"/>
        <v>6.7</v>
      </c>
      <c r="AK106" s="53">
        <f t="shared" si="9"/>
        <v>0.67</v>
      </c>
    </row>
    <row r="107" spans="20:37" ht="15.75">
      <c r="T107" s="10">
        <v>31</v>
      </c>
      <c r="U107" s="14">
        <f t="shared" si="5"/>
        <v>2</v>
      </c>
      <c r="V107" s="53">
        <f>V106+$V$75</f>
        <v>0.7</v>
      </c>
      <c r="AI107" s="14">
        <f>AI105+1</f>
        <v>9</v>
      </c>
      <c r="AJ107" s="157">
        <f t="shared" si="10"/>
        <v>7.7</v>
      </c>
      <c r="AK107" s="53">
        <f t="shared" si="9"/>
        <v>0.67</v>
      </c>
    </row>
    <row r="108" spans="20:37" ht="15.75">
      <c r="T108" s="10">
        <v>32</v>
      </c>
      <c r="U108" s="14">
        <f t="shared" si="5"/>
        <v>-2</v>
      </c>
      <c r="V108" s="53">
        <f>V107</f>
        <v>0.7</v>
      </c>
      <c r="AI108" s="14">
        <f>AI106+1</f>
        <v>10</v>
      </c>
      <c r="AJ108" s="157">
        <f t="shared" si="11"/>
        <v>7.7</v>
      </c>
      <c r="AK108" s="53">
        <f t="shared" si="9"/>
        <v>0.72</v>
      </c>
    </row>
    <row r="109" spans="20:37" ht="15.75">
      <c r="T109" s="10">
        <v>33</v>
      </c>
      <c r="U109" s="14">
        <f t="shared" si="5"/>
        <v>-2</v>
      </c>
      <c r="V109" s="53">
        <f>V108+$V$75</f>
        <v>0.7466666666666666</v>
      </c>
      <c r="AI109" s="14">
        <f aca="true" t="shared" si="12" ref="AI109:AI115">AI107+1</f>
        <v>10</v>
      </c>
      <c r="AJ109" s="157">
        <f t="shared" si="10"/>
        <v>6.7</v>
      </c>
      <c r="AK109" s="53">
        <f t="shared" si="9"/>
        <v>0.72</v>
      </c>
    </row>
    <row r="110" spans="20:37" ht="15.75">
      <c r="T110" s="10">
        <v>34</v>
      </c>
      <c r="U110" s="14">
        <f t="shared" si="5"/>
        <v>2</v>
      </c>
      <c r="V110" s="53">
        <f>V109</f>
        <v>0.7466666666666666</v>
      </c>
      <c r="AI110" s="14">
        <f t="shared" si="12"/>
        <v>11</v>
      </c>
      <c r="AJ110" s="157">
        <f t="shared" si="11"/>
        <v>6.7</v>
      </c>
      <c r="AK110" s="53">
        <f t="shared" si="9"/>
        <v>0.77</v>
      </c>
    </row>
    <row r="111" spans="20:37" ht="15.75">
      <c r="T111" s="10">
        <v>35</v>
      </c>
      <c r="U111" s="14">
        <f t="shared" si="5"/>
        <v>2</v>
      </c>
      <c r="V111" s="53">
        <f>V110+$V$75</f>
        <v>0.7933333333333332</v>
      </c>
      <c r="AI111" s="14">
        <f t="shared" si="12"/>
        <v>11</v>
      </c>
      <c r="AJ111" s="157">
        <f t="shared" si="10"/>
        <v>7.7</v>
      </c>
      <c r="AK111" s="53">
        <f t="shared" si="9"/>
        <v>0.77</v>
      </c>
    </row>
    <row r="112" spans="20:37" ht="15.75">
      <c r="T112" s="10">
        <v>36</v>
      </c>
      <c r="U112" s="14">
        <f t="shared" si="5"/>
        <v>-2</v>
      </c>
      <c r="V112" s="53">
        <f>V111</f>
        <v>0.7933333333333332</v>
      </c>
      <c r="AI112" s="14">
        <f t="shared" si="12"/>
        <v>12</v>
      </c>
      <c r="AJ112" s="157">
        <f t="shared" si="11"/>
        <v>7.7</v>
      </c>
      <c r="AK112" s="53">
        <f t="shared" si="9"/>
        <v>0.8200000000000001</v>
      </c>
    </row>
    <row r="113" spans="20:37" ht="15.75">
      <c r="T113" s="10">
        <v>37</v>
      </c>
      <c r="U113" s="14">
        <f t="shared" si="5"/>
        <v>-2</v>
      </c>
      <c r="V113" s="53">
        <f>V112+$V$75</f>
        <v>0.8399999999999999</v>
      </c>
      <c r="AI113" s="14">
        <f t="shared" si="12"/>
        <v>12</v>
      </c>
      <c r="AJ113" s="157">
        <f t="shared" si="10"/>
        <v>6.7</v>
      </c>
      <c r="AK113" s="53">
        <f t="shared" si="9"/>
        <v>0.8200000000000001</v>
      </c>
    </row>
    <row r="114" spans="20:37" ht="15.75">
      <c r="T114" s="10">
        <v>38</v>
      </c>
      <c r="U114" s="14">
        <f t="shared" si="5"/>
        <v>2</v>
      </c>
      <c r="V114" s="53">
        <f>V113</f>
        <v>0.8399999999999999</v>
      </c>
      <c r="AI114" s="14">
        <f t="shared" si="12"/>
        <v>13</v>
      </c>
      <c r="AJ114" s="157">
        <f t="shared" si="11"/>
        <v>6.7</v>
      </c>
      <c r="AK114" s="53">
        <f t="shared" si="9"/>
        <v>0.87</v>
      </c>
    </row>
    <row r="115" spans="20:37" ht="15.75">
      <c r="T115" s="10">
        <v>39</v>
      </c>
      <c r="U115" s="14">
        <f t="shared" si="5"/>
        <v>2</v>
      </c>
      <c r="V115" s="53">
        <f>V114+$V$75</f>
        <v>0.8866666666666665</v>
      </c>
      <c r="AI115" s="14">
        <f t="shared" si="12"/>
        <v>13</v>
      </c>
      <c r="AJ115" s="157">
        <f t="shared" si="10"/>
        <v>7.7</v>
      </c>
      <c r="AK115" s="53">
        <f t="shared" si="9"/>
        <v>0.87</v>
      </c>
    </row>
    <row r="116" spans="20:37" ht="15.75">
      <c r="T116" s="10">
        <v>40</v>
      </c>
      <c r="U116" s="14">
        <f>U112</f>
        <v>-2</v>
      </c>
      <c r="V116" s="53">
        <f>V115</f>
        <v>0.8866666666666665</v>
      </c>
      <c r="AI116" s="14">
        <f>AI114+1</f>
        <v>14</v>
      </c>
      <c r="AJ116" s="157">
        <f t="shared" si="11"/>
        <v>7.7</v>
      </c>
      <c r="AK116" s="53">
        <f t="shared" si="9"/>
        <v>0.92</v>
      </c>
    </row>
    <row r="117" spans="20:37" ht="15.75">
      <c r="T117" s="10">
        <v>41</v>
      </c>
      <c r="U117" s="14">
        <f t="shared" si="5"/>
        <v>-2</v>
      </c>
      <c r="V117" s="53">
        <f>V116+$V$75</f>
        <v>0.9333333333333331</v>
      </c>
      <c r="AI117" s="14">
        <f>AI115+1</f>
        <v>14</v>
      </c>
      <c r="AJ117" s="157">
        <f t="shared" si="10"/>
        <v>6.7</v>
      </c>
      <c r="AK117" s="53">
        <f t="shared" si="9"/>
        <v>0.92</v>
      </c>
    </row>
    <row r="118" spans="20:37" ht="15.75">
      <c r="T118" s="10">
        <v>42</v>
      </c>
      <c r="U118" s="14">
        <f t="shared" si="5"/>
        <v>2</v>
      </c>
      <c r="V118" s="53">
        <f>V117</f>
        <v>0.9333333333333331</v>
      </c>
      <c r="AI118" s="14">
        <f aca="true" t="shared" si="13" ref="AI118:AI129">AI116+1</f>
        <v>15</v>
      </c>
      <c r="AJ118" s="157">
        <f t="shared" si="11"/>
        <v>6.7</v>
      </c>
      <c r="AK118" s="53">
        <f>$AK$34+AI118*$AK$86</f>
        <v>0.97</v>
      </c>
    </row>
    <row r="119" spans="20:37" ht="15.75">
      <c r="T119" s="10">
        <v>43</v>
      </c>
      <c r="U119" s="14">
        <f t="shared" si="5"/>
        <v>2</v>
      </c>
      <c r="V119" s="53">
        <f>V118+$V$75</f>
        <v>0.9799999999999998</v>
      </c>
      <c r="AI119" s="14">
        <f t="shared" si="13"/>
        <v>15</v>
      </c>
      <c r="AJ119" s="157">
        <f t="shared" si="10"/>
        <v>7.7</v>
      </c>
      <c r="AK119" s="53">
        <f>$AK$34+AI119*$AK$86</f>
        <v>0.97</v>
      </c>
    </row>
    <row r="120" spans="20:37" ht="15.75">
      <c r="T120" s="10">
        <v>44</v>
      </c>
      <c r="U120" s="14">
        <f t="shared" si="5"/>
        <v>-2</v>
      </c>
      <c r="V120" s="53">
        <f>V119</f>
        <v>0.9799999999999998</v>
      </c>
      <c r="AI120" s="14">
        <f t="shared" si="13"/>
        <v>16</v>
      </c>
      <c r="AJ120" s="157">
        <f>AJ119</f>
        <v>7.7</v>
      </c>
      <c r="AK120" s="53">
        <f aca="true" t="shared" si="14" ref="AK120:AK129">$AK$34+AI120*$AK$86</f>
        <v>1.02</v>
      </c>
    </row>
    <row r="121" spans="20:37" ht="15.75">
      <c r="T121" s="10">
        <v>45</v>
      </c>
      <c r="U121" s="14">
        <f t="shared" si="5"/>
        <v>-2</v>
      </c>
      <c r="V121" s="53">
        <f>V120+$V$75</f>
        <v>1.0266666666666664</v>
      </c>
      <c r="AI121" s="14">
        <f t="shared" si="13"/>
        <v>16</v>
      </c>
      <c r="AJ121" s="157">
        <f t="shared" si="10"/>
        <v>6.7</v>
      </c>
      <c r="AK121" s="53">
        <f t="shared" si="14"/>
        <v>1.02</v>
      </c>
    </row>
    <row r="122" spans="20:37" ht="15.75">
      <c r="T122" s="10">
        <v>46</v>
      </c>
      <c r="U122" s="14">
        <f t="shared" si="5"/>
        <v>2</v>
      </c>
      <c r="V122" s="53">
        <f>V121</f>
        <v>1.0266666666666664</v>
      </c>
      <c r="AI122" s="14">
        <f t="shared" si="13"/>
        <v>17</v>
      </c>
      <c r="AJ122" s="157">
        <f>AJ121</f>
        <v>6.7</v>
      </c>
      <c r="AK122" s="53">
        <f t="shared" si="14"/>
        <v>1.07</v>
      </c>
    </row>
    <row r="123" spans="20:37" ht="15.75">
      <c r="T123" s="10">
        <v>47</v>
      </c>
      <c r="U123" s="14">
        <f t="shared" si="5"/>
        <v>2</v>
      </c>
      <c r="V123" s="53">
        <f>V122+$V$75</f>
        <v>1.073333333333333</v>
      </c>
      <c r="AI123" s="14">
        <f t="shared" si="13"/>
        <v>17</v>
      </c>
      <c r="AJ123" s="157">
        <f t="shared" si="10"/>
        <v>7.7</v>
      </c>
      <c r="AK123" s="53">
        <f t="shared" si="14"/>
        <v>1.07</v>
      </c>
    </row>
    <row r="124" spans="20:37" ht="15.75">
      <c r="T124" s="10">
        <v>48</v>
      </c>
      <c r="U124" s="14">
        <f t="shared" si="5"/>
        <v>-2</v>
      </c>
      <c r="V124" s="53">
        <f>V123</f>
        <v>1.073333333333333</v>
      </c>
      <c r="AI124" s="14">
        <f t="shared" si="13"/>
        <v>18</v>
      </c>
      <c r="AJ124" s="157">
        <f>AJ123</f>
        <v>7.7</v>
      </c>
      <c r="AK124" s="53">
        <f t="shared" si="14"/>
        <v>1.12</v>
      </c>
    </row>
    <row r="125" spans="20:37" ht="15.75">
      <c r="T125" s="10">
        <v>49</v>
      </c>
      <c r="U125" s="14">
        <f t="shared" si="5"/>
        <v>-2</v>
      </c>
      <c r="V125" s="53">
        <f>V124+$V$75</f>
        <v>1.1199999999999997</v>
      </c>
      <c r="AI125" s="14">
        <f t="shared" si="13"/>
        <v>18</v>
      </c>
      <c r="AJ125" s="157">
        <f t="shared" si="10"/>
        <v>6.7</v>
      </c>
      <c r="AK125" s="53">
        <f t="shared" si="14"/>
        <v>1.12</v>
      </c>
    </row>
    <row r="126" spans="20:37" ht="15.75">
      <c r="T126" s="10">
        <v>50</v>
      </c>
      <c r="U126" s="14">
        <f t="shared" si="5"/>
        <v>2</v>
      </c>
      <c r="V126" s="53">
        <f>V125</f>
        <v>1.1199999999999997</v>
      </c>
      <c r="AI126" s="14">
        <f t="shared" si="13"/>
        <v>19</v>
      </c>
      <c r="AJ126" s="157">
        <f>AJ125</f>
        <v>6.7</v>
      </c>
      <c r="AK126" s="53">
        <f t="shared" si="14"/>
        <v>1.1700000000000002</v>
      </c>
    </row>
    <row r="127" spans="20:37" ht="15.75">
      <c r="T127" s="10">
        <v>51</v>
      </c>
      <c r="U127" s="14">
        <f t="shared" si="5"/>
        <v>2</v>
      </c>
      <c r="V127" s="53">
        <f>V126+$V$75</f>
        <v>1.1666666666666663</v>
      </c>
      <c r="AI127" s="14">
        <f t="shared" si="13"/>
        <v>19</v>
      </c>
      <c r="AJ127" s="157">
        <f t="shared" si="10"/>
        <v>7.7</v>
      </c>
      <c r="AK127" s="53">
        <f t="shared" si="14"/>
        <v>1.1700000000000002</v>
      </c>
    </row>
    <row r="128" spans="20:37" ht="15.75">
      <c r="T128" s="10">
        <v>52</v>
      </c>
      <c r="U128" s="14">
        <f t="shared" si="5"/>
        <v>-2</v>
      </c>
      <c r="V128" s="53">
        <f>V127</f>
        <v>1.1666666666666663</v>
      </c>
      <c r="AI128" s="14">
        <f t="shared" si="13"/>
        <v>20</v>
      </c>
      <c r="AJ128" s="157">
        <f>AJ127</f>
        <v>7.7</v>
      </c>
      <c r="AK128" s="53">
        <f t="shared" si="14"/>
        <v>1.22</v>
      </c>
    </row>
    <row r="129" spans="20:37" ht="15.75">
      <c r="T129" s="10">
        <v>53</v>
      </c>
      <c r="U129" s="14">
        <f t="shared" si="5"/>
        <v>-2</v>
      </c>
      <c r="V129" s="53">
        <f>V128+$V$75</f>
        <v>1.213333333333333</v>
      </c>
      <c r="AI129" s="58">
        <f t="shared" si="13"/>
        <v>20</v>
      </c>
      <c r="AJ129" s="158">
        <f t="shared" si="10"/>
        <v>6.7</v>
      </c>
      <c r="AK129" s="54">
        <f t="shared" si="14"/>
        <v>1.22</v>
      </c>
    </row>
    <row r="130" spans="20:22" ht="15.75">
      <c r="T130" s="10">
        <v>54</v>
      </c>
      <c r="U130" s="14">
        <f t="shared" si="5"/>
        <v>2</v>
      </c>
      <c r="V130" s="53">
        <f>V129</f>
        <v>1.213333333333333</v>
      </c>
    </row>
    <row r="131" spans="20:22" ht="15.75">
      <c r="T131" s="10">
        <v>55</v>
      </c>
      <c r="U131" s="14">
        <f t="shared" si="5"/>
        <v>2</v>
      </c>
      <c r="V131" s="53">
        <f>V130+$V$75</f>
        <v>1.2599999999999996</v>
      </c>
    </row>
    <row r="132" spans="20:22" ht="15.75">
      <c r="T132" s="10">
        <v>56</v>
      </c>
      <c r="U132" s="14">
        <f>U128</f>
        <v>-2</v>
      </c>
      <c r="V132" s="53">
        <f>V131</f>
        <v>1.2599999999999996</v>
      </c>
    </row>
    <row r="133" spans="20:22" ht="15.75">
      <c r="T133" s="10">
        <v>57</v>
      </c>
      <c r="U133" s="14">
        <f t="shared" si="5"/>
        <v>-2</v>
      </c>
      <c r="V133" s="53">
        <f>V132+$V$75</f>
        <v>1.3066666666666662</v>
      </c>
    </row>
    <row r="134" spans="20:22" ht="15.75">
      <c r="T134" s="10">
        <v>58</v>
      </c>
      <c r="U134" s="14">
        <f t="shared" si="5"/>
        <v>2</v>
      </c>
      <c r="V134" s="53">
        <f>V133</f>
        <v>1.3066666666666662</v>
      </c>
    </row>
    <row r="135" spans="20:22" ht="15.75">
      <c r="T135" s="10">
        <v>59</v>
      </c>
      <c r="U135" s="14">
        <f t="shared" si="5"/>
        <v>2</v>
      </c>
      <c r="V135" s="53">
        <f>V134+$V$75</f>
        <v>1.3533333333333328</v>
      </c>
    </row>
    <row r="136" spans="20:22" ht="15.75">
      <c r="T136" s="10">
        <v>60</v>
      </c>
      <c r="U136" s="14">
        <f t="shared" si="5"/>
        <v>-2</v>
      </c>
      <c r="V136" s="53">
        <f>V135</f>
        <v>1.3533333333333328</v>
      </c>
    </row>
    <row r="137" spans="20:22" ht="15.75">
      <c r="T137" s="10">
        <v>61</v>
      </c>
      <c r="U137" s="14">
        <f t="shared" si="5"/>
        <v>-2</v>
      </c>
      <c r="V137" s="53">
        <f>V136+$V$75</f>
        <v>1.3999999999999995</v>
      </c>
    </row>
    <row r="138" spans="20:22" ht="15.75">
      <c r="T138" s="10">
        <v>62</v>
      </c>
      <c r="U138" s="14">
        <f t="shared" si="5"/>
        <v>2</v>
      </c>
      <c r="V138" s="53">
        <f>V137</f>
        <v>1.3999999999999995</v>
      </c>
    </row>
    <row r="139" spans="20:22" ht="15.75">
      <c r="T139" s="10">
        <v>63</v>
      </c>
      <c r="U139" s="14">
        <f t="shared" si="5"/>
        <v>2</v>
      </c>
      <c r="V139" s="53">
        <f>V138+$V$75</f>
        <v>1.446666666666666</v>
      </c>
    </row>
    <row r="140" spans="20:22" ht="15.75">
      <c r="T140" s="10">
        <v>64</v>
      </c>
      <c r="U140" s="14">
        <f t="shared" si="5"/>
        <v>-2</v>
      </c>
      <c r="V140" s="53">
        <f>V139</f>
        <v>1.446666666666666</v>
      </c>
    </row>
    <row r="141" spans="20:22" ht="15.75">
      <c r="T141" s="10">
        <v>65</v>
      </c>
      <c r="U141" s="14">
        <f t="shared" si="5"/>
        <v>-2</v>
      </c>
      <c r="V141" s="53">
        <f>V140+$V$75</f>
        <v>1.4933333333333327</v>
      </c>
    </row>
    <row r="142" spans="20:22" ht="15.75">
      <c r="T142" s="10">
        <v>66</v>
      </c>
      <c r="U142" s="14">
        <f t="shared" si="5"/>
        <v>2</v>
      </c>
      <c r="V142" s="53">
        <f>V141</f>
        <v>1.4933333333333327</v>
      </c>
    </row>
    <row r="143" spans="20:22" ht="15.75">
      <c r="T143" s="10">
        <v>67</v>
      </c>
      <c r="U143" s="14">
        <f t="shared" si="5"/>
        <v>2</v>
      </c>
      <c r="V143" s="53">
        <f>V142+$V$75</f>
        <v>1.5399999999999994</v>
      </c>
    </row>
    <row r="144" spans="20:22" ht="15.75">
      <c r="T144" s="10">
        <v>68</v>
      </c>
      <c r="U144" s="14">
        <f t="shared" si="5"/>
        <v>-2</v>
      </c>
      <c r="V144" s="53">
        <f>V143</f>
        <v>1.5399999999999994</v>
      </c>
    </row>
    <row r="145" spans="20:22" ht="15.75">
      <c r="T145" s="10">
        <v>69</v>
      </c>
      <c r="U145" s="14">
        <f t="shared" si="5"/>
        <v>-2</v>
      </c>
      <c r="V145" s="53">
        <f>V144+$V$75</f>
        <v>1.586666666666666</v>
      </c>
    </row>
    <row r="146" spans="20:22" ht="15.75">
      <c r="T146" s="10">
        <v>70</v>
      </c>
      <c r="U146" s="14">
        <f aca="true" t="shared" si="15" ref="U146:U209">U142</f>
        <v>2</v>
      </c>
      <c r="V146" s="53">
        <f>V145</f>
        <v>1.586666666666666</v>
      </c>
    </row>
    <row r="147" spans="20:22" ht="15.75">
      <c r="T147" s="10">
        <v>71</v>
      </c>
      <c r="U147" s="14">
        <f t="shared" si="15"/>
        <v>2</v>
      </c>
      <c r="V147" s="53">
        <f>V146+$V$75</f>
        <v>1.6333333333333326</v>
      </c>
    </row>
    <row r="148" spans="20:22" ht="15.75">
      <c r="T148" s="10">
        <v>72</v>
      </c>
      <c r="U148" s="14">
        <f t="shared" si="15"/>
        <v>-2</v>
      </c>
      <c r="V148" s="53">
        <f>V147</f>
        <v>1.6333333333333326</v>
      </c>
    </row>
    <row r="149" spans="20:22" ht="15.75">
      <c r="T149" s="10">
        <v>73</v>
      </c>
      <c r="U149" s="14">
        <f t="shared" si="15"/>
        <v>-2</v>
      </c>
      <c r="V149" s="53">
        <f>V148+$V$75</f>
        <v>1.6799999999999993</v>
      </c>
    </row>
    <row r="150" spans="20:22" ht="15.75">
      <c r="T150" s="10">
        <v>74</v>
      </c>
      <c r="U150" s="14">
        <f t="shared" si="15"/>
        <v>2</v>
      </c>
      <c r="V150" s="53">
        <f>V149</f>
        <v>1.6799999999999993</v>
      </c>
    </row>
    <row r="151" spans="20:22" ht="15.75">
      <c r="T151" s="10">
        <v>75</v>
      </c>
      <c r="U151" s="14">
        <f t="shared" si="15"/>
        <v>2</v>
      </c>
      <c r="V151" s="53">
        <f>V150+$V$75</f>
        <v>1.726666666666666</v>
      </c>
    </row>
    <row r="152" spans="20:22" ht="15.75">
      <c r="T152" s="10">
        <v>76</v>
      </c>
      <c r="U152" s="14">
        <f t="shared" si="15"/>
        <v>-2</v>
      </c>
      <c r="V152" s="53">
        <f>V151</f>
        <v>1.726666666666666</v>
      </c>
    </row>
    <row r="153" spans="20:22" ht="15.75">
      <c r="T153" s="10">
        <v>77</v>
      </c>
      <c r="U153" s="14">
        <f t="shared" si="15"/>
        <v>-2</v>
      </c>
      <c r="V153" s="53">
        <f>V152+$V$75</f>
        <v>1.7733333333333325</v>
      </c>
    </row>
    <row r="154" spans="20:22" ht="15.75">
      <c r="T154" s="10">
        <v>78</v>
      </c>
      <c r="U154" s="14">
        <f t="shared" si="15"/>
        <v>2</v>
      </c>
      <c r="V154" s="53">
        <f>V153</f>
        <v>1.7733333333333325</v>
      </c>
    </row>
    <row r="155" spans="20:22" ht="15.75">
      <c r="T155" s="10">
        <v>79</v>
      </c>
      <c r="U155" s="14">
        <f t="shared" si="15"/>
        <v>2</v>
      </c>
      <c r="V155" s="53">
        <f>V154+$V$75</f>
        <v>1.8199999999999992</v>
      </c>
    </row>
    <row r="156" spans="20:22" ht="15.75">
      <c r="T156" s="10">
        <v>80</v>
      </c>
      <c r="U156" s="14">
        <f t="shared" si="15"/>
        <v>-2</v>
      </c>
      <c r="V156" s="53">
        <f>V155</f>
        <v>1.8199999999999992</v>
      </c>
    </row>
    <row r="157" spans="20:22" ht="15.75">
      <c r="T157" s="10">
        <v>81</v>
      </c>
      <c r="U157" s="14">
        <f t="shared" si="15"/>
        <v>-2</v>
      </c>
      <c r="V157" s="53">
        <f>V156+$V$75</f>
        <v>1.8666666666666658</v>
      </c>
    </row>
    <row r="158" spans="20:22" ht="15.75">
      <c r="T158" s="10">
        <v>82</v>
      </c>
      <c r="U158" s="14">
        <f t="shared" si="15"/>
        <v>2</v>
      </c>
      <c r="V158" s="53">
        <f>V157</f>
        <v>1.8666666666666658</v>
      </c>
    </row>
    <row r="159" spans="20:22" ht="15.75">
      <c r="T159" s="10">
        <v>83</v>
      </c>
      <c r="U159" s="14">
        <f t="shared" si="15"/>
        <v>2</v>
      </c>
      <c r="V159" s="53">
        <f>V158+$V$75</f>
        <v>1.9133333333333324</v>
      </c>
    </row>
    <row r="160" spans="20:22" ht="15.75">
      <c r="T160" s="10">
        <v>84</v>
      </c>
      <c r="U160" s="14">
        <f t="shared" si="15"/>
        <v>-2</v>
      </c>
      <c r="V160" s="53">
        <f>V159</f>
        <v>1.9133333333333324</v>
      </c>
    </row>
    <row r="161" spans="20:22" ht="15.75">
      <c r="T161" s="10">
        <v>85</v>
      </c>
      <c r="U161" s="14">
        <f t="shared" si="15"/>
        <v>-2</v>
      </c>
      <c r="V161" s="53">
        <f>V160+$V$75</f>
        <v>1.959999999999999</v>
      </c>
    </row>
    <row r="162" spans="20:22" ht="15.75">
      <c r="T162" s="10">
        <v>86</v>
      </c>
      <c r="U162" s="14">
        <f t="shared" si="15"/>
        <v>2</v>
      </c>
      <c r="V162" s="53">
        <f>V161</f>
        <v>1.959999999999999</v>
      </c>
    </row>
    <row r="163" spans="20:22" ht="15.75">
      <c r="T163" s="10">
        <v>87</v>
      </c>
      <c r="U163" s="14">
        <f t="shared" si="15"/>
        <v>2</v>
      </c>
      <c r="V163" s="53">
        <f>V162+$V$75</f>
        <v>2.006666666666666</v>
      </c>
    </row>
    <row r="164" spans="20:22" ht="15.75">
      <c r="T164" s="10">
        <v>88</v>
      </c>
      <c r="U164" s="14">
        <f t="shared" si="15"/>
        <v>-2</v>
      </c>
      <c r="V164" s="53">
        <f>V163</f>
        <v>2.006666666666666</v>
      </c>
    </row>
    <row r="165" spans="20:22" ht="15.75">
      <c r="T165" s="10">
        <v>89</v>
      </c>
      <c r="U165" s="14">
        <f t="shared" si="15"/>
        <v>-2</v>
      </c>
      <c r="V165" s="53">
        <f>V164+$V$75</f>
        <v>2.053333333333333</v>
      </c>
    </row>
    <row r="166" spans="20:22" ht="15.75">
      <c r="T166" s="10">
        <v>90</v>
      </c>
      <c r="U166" s="14">
        <f t="shared" si="15"/>
        <v>2</v>
      </c>
      <c r="V166" s="53">
        <f>V165</f>
        <v>2.053333333333333</v>
      </c>
    </row>
    <row r="167" spans="20:22" ht="15.75">
      <c r="T167" s="10">
        <v>91</v>
      </c>
      <c r="U167" s="14">
        <f>U163</f>
        <v>2</v>
      </c>
      <c r="V167" s="53">
        <f>V166+$V$75</f>
        <v>2.0999999999999996</v>
      </c>
    </row>
    <row r="168" spans="20:22" ht="15.75">
      <c r="T168" s="10">
        <v>92</v>
      </c>
      <c r="U168" s="14">
        <f t="shared" si="15"/>
        <v>-2</v>
      </c>
      <c r="V168" s="53">
        <f>V167</f>
        <v>2.0999999999999996</v>
      </c>
    </row>
    <row r="169" spans="20:22" ht="15.75">
      <c r="T169" s="10">
        <v>93</v>
      </c>
      <c r="U169" s="14">
        <f t="shared" si="15"/>
        <v>-2</v>
      </c>
      <c r="V169" s="53">
        <f>V168+$V$75</f>
        <v>2.1466666666666665</v>
      </c>
    </row>
    <row r="170" spans="20:22" ht="15.75">
      <c r="T170" s="10">
        <v>94</v>
      </c>
      <c r="U170" s="14">
        <f t="shared" si="15"/>
        <v>2</v>
      </c>
      <c r="V170" s="53">
        <f>V169</f>
        <v>2.1466666666666665</v>
      </c>
    </row>
    <row r="171" spans="20:22" ht="15.75">
      <c r="T171" s="10">
        <v>95</v>
      </c>
      <c r="U171" s="14">
        <f t="shared" si="15"/>
        <v>2</v>
      </c>
      <c r="V171" s="53">
        <f>V170+$V$75</f>
        <v>2.1933333333333334</v>
      </c>
    </row>
    <row r="172" spans="20:22" ht="15.75">
      <c r="T172" s="10">
        <v>96</v>
      </c>
      <c r="U172" s="14">
        <f t="shared" si="15"/>
        <v>-2</v>
      </c>
      <c r="V172" s="53">
        <f>V171</f>
        <v>2.1933333333333334</v>
      </c>
    </row>
    <row r="173" spans="20:22" ht="15.75">
      <c r="T173" s="10">
        <v>97</v>
      </c>
      <c r="U173" s="14">
        <f t="shared" si="15"/>
        <v>-2</v>
      </c>
      <c r="V173" s="53">
        <f>V172+$V$75</f>
        <v>2.24</v>
      </c>
    </row>
    <row r="174" spans="20:22" ht="15.75">
      <c r="T174" s="10">
        <v>98</v>
      </c>
      <c r="U174" s="14">
        <f t="shared" si="15"/>
        <v>2</v>
      </c>
      <c r="V174" s="53">
        <f>V173</f>
        <v>2.24</v>
      </c>
    </row>
    <row r="175" spans="20:22" ht="15.75">
      <c r="T175" s="10">
        <v>99</v>
      </c>
      <c r="U175" s="14">
        <f t="shared" si="15"/>
        <v>2</v>
      </c>
      <c r="V175" s="53">
        <f>V174+$V$75</f>
        <v>2.286666666666667</v>
      </c>
    </row>
    <row r="176" spans="20:22" ht="15.75">
      <c r="T176" s="10">
        <v>100</v>
      </c>
      <c r="U176" s="14">
        <f t="shared" si="15"/>
        <v>-2</v>
      </c>
      <c r="V176" s="53">
        <f>V175</f>
        <v>2.286666666666667</v>
      </c>
    </row>
    <row r="177" spans="20:22" ht="15.75">
      <c r="T177" s="10">
        <v>101</v>
      </c>
      <c r="U177" s="14">
        <f t="shared" si="15"/>
        <v>-2</v>
      </c>
      <c r="V177" s="53">
        <f>V176+$V$75</f>
        <v>2.333333333333334</v>
      </c>
    </row>
    <row r="178" spans="20:22" ht="15.75">
      <c r="T178" s="10">
        <v>102</v>
      </c>
      <c r="U178" s="14">
        <f t="shared" si="15"/>
        <v>2</v>
      </c>
      <c r="V178" s="53">
        <f>V177</f>
        <v>2.333333333333334</v>
      </c>
    </row>
    <row r="179" spans="20:22" ht="15.75">
      <c r="T179" s="10">
        <v>103</v>
      </c>
      <c r="U179" s="14">
        <f t="shared" si="15"/>
        <v>2</v>
      </c>
      <c r="V179" s="53">
        <f>V178+$V$75</f>
        <v>2.380000000000001</v>
      </c>
    </row>
    <row r="180" spans="20:22" ht="15.75">
      <c r="T180" s="10">
        <v>104</v>
      </c>
      <c r="U180" s="14">
        <f t="shared" si="15"/>
        <v>-2</v>
      </c>
      <c r="V180" s="53">
        <f>V179</f>
        <v>2.380000000000001</v>
      </c>
    </row>
    <row r="181" spans="20:22" ht="15.75">
      <c r="T181" s="10">
        <v>105</v>
      </c>
      <c r="U181" s="14">
        <f t="shared" si="15"/>
        <v>-2</v>
      </c>
      <c r="V181" s="53">
        <f>V180+$V$75</f>
        <v>2.4266666666666676</v>
      </c>
    </row>
    <row r="182" spans="20:22" ht="15.75">
      <c r="T182" s="10">
        <v>106</v>
      </c>
      <c r="U182" s="14">
        <f t="shared" si="15"/>
        <v>2</v>
      </c>
      <c r="V182" s="53">
        <f>V181</f>
        <v>2.4266666666666676</v>
      </c>
    </row>
    <row r="183" spans="20:22" ht="15.75">
      <c r="T183" s="10">
        <v>107</v>
      </c>
      <c r="U183" s="14">
        <f t="shared" si="15"/>
        <v>2</v>
      </c>
      <c r="V183" s="53">
        <f>V182+$V$75</f>
        <v>2.4733333333333345</v>
      </c>
    </row>
    <row r="184" spans="20:22" ht="15.75">
      <c r="T184" s="10">
        <v>108</v>
      </c>
      <c r="U184" s="14">
        <f t="shared" si="15"/>
        <v>-2</v>
      </c>
      <c r="V184" s="53">
        <f>V183</f>
        <v>2.4733333333333345</v>
      </c>
    </row>
    <row r="185" spans="20:22" ht="15.75">
      <c r="T185" s="10">
        <v>109</v>
      </c>
      <c r="U185" s="14">
        <f t="shared" si="15"/>
        <v>-2</v>
      </c>
      <c r="V185" s="53">
        <f>V184+$V$75</f>
        <v>2.5200000000000014</v>
      </c>
    </row>
    <row r="186" spans="20:22" ht="15.75">
      <c r="T186" s="10">
        <v>110</v>
      </c>
      <c r="U186" s="14">
        <f t="shared" si="15"/>
        <v>2</v>
      </c>
      <c r="V186" s="53">
        <f>V185</f>
        <v>2.5200000000000014</v>
      </c>
    </row>
    <row r="187" spans="20:22" ht="15.75">
      <c r="T187" s="10">
        <v>111</v>
      </c>
      <c r="U187" s="14">
        <f t="shared" si="15"/>
        <v>2</v>
      </c>
      <c r="V187" s="53">
        <f>V186+$V$75</f>
        <v>2.566666666666668</v>
      </c>
    </row>
    <row r="188" spans="20:22" ht="15.75">
      <c r="T188" s="10">
        <v>112</v>
      </c>
      <c r="U188" s="14">
        <f t="shared" si="15"/>
        <v>-2</v>
      </c>
      <c r="V188" s="53">
        <f>V187</f>
        <v>2.566666666666668</v>
      </c>
    </row>
    <row r="189" spans="20:22" ht="15.75">
      <c r="T189" s="10">
        <v>113</v>
      </c>
      <c r="U189" s="14">
        <f t="shared" si="15"/>
        <v>-2</v>
      </c>
      <c r="V189" s="53">
        <f>V188+$V$75</f>
        <v>2.613333333333335</v>
      </c>
    </row>
    <row r="190" spans="20:22" ht="15.75">
      <c r="T190" s="10">
        <v>114</v>
      </c>
      <c r="U190" s="14">
        <f t="shared" si="15"/>
        <v>2</v>
      </c>
      <c r="V190" s="53">
        <f>V189</f>
        <v>2.613333333333335</v>
      </c>
    </row>
    <row r="191" spans="20:22" ht="15.75">
      <c r="T191" s="10">
        <v>115</v>
      </c>
      <c r="U191" s="14">
        <f t="shared" si="15"/>
        <v>2</v>
      </c>
      <c r="V191" s="53">
        <f>V190+$V$75</f>
        <v>2.660000000000002</v>
      </c>
    </row>
    <row r="192" spans="20:22" ht="15.75">
      <c r="T192" s="10">
        <v>116</v>
      </c>
      <c r="U192" s="14">
        <f t="shared" si="15"/>
        <v>-2</v>
      </c>
      <c r="V192" s="53">
        <f>V191</f>
        <v>2.660000000000002</v>
      </c>
    </row>
    <row r="193" spans="20:22" ht="15.75">
      <c r="T193" s="10">
        <v>117</v>
      </c>
      <c r="U193" s="14">
        <f t="shared" si="15"/>
        <v>-2</v>
      </c>
      <c r="V193" s="53">
        <f>V192+$V$75</f>
        <v>2.7066666666666688</v>
      </c>
    </row>
    <row r="194" spans="20:22" ht="15.75">
      <c r="T194" s="10">
        <v>118</v>
      </c>
      <c r="U194" s="14">
        <f t="shared" si="15"/>
        <v>2</v>
      </c>
      <c r="V194" s="53">
        <f>V193</f>
        <v>2.7066666666666688</v>
      </c>
    </row>
    <row r="195" spans="20:22" ht="15.75">
      <c r="T195" s="10">
        <v>119</v>
      </c>
      <c r="U195" s="14">
        <f t="shared" si="15"/>
        <v>2</v>
      </c>
      <c r="V195" s="53">
        <f>V194+$V$75</f>
        <v>2.7533333333333356</v>
      </c>
    </row>
    <row r="196" spans="20:22" ht="15.75">
      <c r="T196" s="10">
        <v>120</v>
      </c>
      <c r="U196" s="14">
        <f t="shared" si="15"/>
        <v>-2</v>
      </c>
      <c r="V196" s="53">
        <f>V195</f>
        <v>2.7533333333333356</v>
      </c>
    </row>
    <row r="197" spans="20:22" ht="15.75">
      <c r="T197" s="10">
        <v>121</v>
      </c>
      <c r="U197" s="14">
        <f t="shared" si="15"/>
        <v>-2</v>
      </c>
      <c r="V197" s="53">
        <f>V196+$V$75</f>
        <v>2.8000000000000025</v>
      </c>
    </row>
    <row r="198" spans="20:22" ht="15.75">
      <c r="T198" s="10">
        <v>122</v>
      </c>
      <c r="U198" s="14">
        <f t="shared" si="15"/>
        <v>2</v>
      </c>
      <c r="V198" s="53">
        <f>V197</f>
        <v>2.8000000000000025</v>
      </c>
    </row>
    <row r="199" spans="20:22" ht="15.75">
      <c r="T199" s="10">
        <v>123</v>
      </c>
      <c r="U199" s="14">
        <f t="shared" si="15"/>
        <v>2</v>
      </c>
      <c r="V199" s="53">
        <f>V198+$V$75</f>
        <v>2.8466666666666693</v>
      </c>
    </row>
    <row r="200" spans="20:22" ht="15.75">
      <c r="T200" s="10">
        <v>124</v>
      </c>
      <c r="U200" s="14">
        <f t="shared" si="15"/>
        <v>-2</v>
      </c>
      <c r="V200" s="53">
        <f>V199</f>
        <v>2.8466666666666693</v>
      </c>
    </row>
    <row r="201" spans="20:22" ht="15.75">
      <c r="T201" s="10">
        <v>125</v>
      </c>
      <c r="U201" s="14">
        <f t="shared" si="15"/>
        <v>-2</v>
      </c>
      <c r="V201" s="53">
        <f>V200+$V$75</f>
        <v>2.893333333333336</v>
      </c>
    </row>
    <row r="202" spans="20:22" ht="15.75">
      <c r="T202" s="10">
        <v>126</v>
      </c>
      <c r="U202" s="14">
        <f t="shared" si="15"/>
        <v>2</v>
      </c>
      <c r="V202" s="53">
        <f>V201</f>
        <v>2.893333333333336</v>
      </c>
    </row>
    <row r="203" spans="20:22" ht="15.75">
      <c r="T203" s="10">
        <v>127</v>
      </c>
      <c r="U203" s="14">
        <f t="shared" si="15"/>
        <v>2</v>
      </c>
      <c r="V203" s="53">
        <f>V202+$V$75</f>
        <v>2.940000000000003</v>
      </c>
    </row>
    <row r="204" spans="20:22" ht="15.75">
      <c r="T204" s="10">
        <v>128</v>
      </c>
      <c r="U204" s="14">
        <f t="shared" si="15"/>
        <v>-2</v>
      </c>
      <c r="V204" s="53">
        <f>V203</f>
        <v>2.940000000000003</v>
      </c>
    </row>
    <row r="205" spans="20:22" ht="15.75">
      <c r="T205" s="10">
        <v>129</v>
      </c>
      <c r="U205" s="14">
        <f t="shared" si="15"/>
        <v>-2</v>
      </c>
      <c r="V205" s="53">
        <f>V204+$V$75</f>
        <v>2.98666666666667</v>
      </c>
    </row>
    <row r="206" spans="20:22" ht="15.75">
      <c r="T206" s="10">
        <v>130</v>
      </c>
      <c r="U206" s="14">
        <f t="shared" si="15"/>
        <v>2</v>
      </c>
      <c r="V206" s="53">
        <f>V205</f>
        <v>2.98666666666667</v>
      </c>
    </row>
    <row r="207" spans="20:22" ht="15.75">
      <c r="T207" s="10">
        <v>131</v>
      </c>
      <c r="U207" s="14">
        <f t="shared" si="15"/>
        <v>2</v>
      </c>
      <c r="V207" s="53">
        <f>V206+$V$75</f>
        <v>3.0333333333333368</v>
      </c>
    </row>
    <row r="208" spans="20:22" ht="15.75">
      <c r="T208" s="10">
        <v>132</v>
      </c>
      <c r="U208" s="14">
        <f t="shared" si="15"/>
        <v>-2</v>
      </c>
      <c r="V208" s="53">
        <f>V207</f>
        <v>3.0333333333333368</v>
      </c>
    </row>
    <row r="209" spans="20:22" ht="15.75">
      <c r="T209" s="10">
        <v>133</v>
      </c>
      <c r="U209" s="14">
        <f t="shared" si="15"/>
        <v>-2</v>
      </c>
      <c r="V209" s="53">
        <f>V208+$V$75</f>
        <v>3.0800000000000036</v>
      </c>
    </row>
    <row r="210" spans="20:22" ht="15.75">
      <c r="T210" s="10">
        <v>134</v>
      </c>
      <c r="U210" s="14">
        <f aca="true" t="shared" si="16" ref="U210:U226">U206</f>
        <v>2</v>
      </c>
      <c r="V210" s="53">
        <f>V209</f>
        <v>3.0800000000000036</v>
      </c>
    </row>
    <row r="211" spans="20:22" ht="15.75">
      <c r="T211" s="10">
        <v>135</v>
      </c>
      <c r="U211" s="14">
        <f t="shared" si="16"/>
        <v>2</v>
      </c>
      <c r="V211" s="53">
        <f>V210+$V$75</f>
        <v>3.1266666666666705</v>
      </c>
    </row>
    <row r="212" spans="20:22" ht="15.75">
      <c r="T212" s="10">
        <v>136</v>
      </c>
      <c r="U212" s="14">
        <f t="shared" si="16"/>
        <v>-2</v>
      </c>
      <c r="V212" s="53">
        <f>V211</f>
        <v>3.1266666666666705</v>
      </c>
    </row>
    <row r="213" spans="20:22" ht="15.75">
      <c r="T213" s="10">
        <v>137</v>
      </c>
      <c r="U213" s="14">
        <f t="shared" si="16"/>
        <v>-2</v>
      </c>
      <c r="V213" s="53">
        <f>V212+$V$75</f>
        <v>3.1733333333333373</v>
      </c>
    </row>
    <row r="214" spans="20:22" ht="15.75">
      <c r="T214" s="10">
        <v>138</v>
      </c>
      <c r="U214" s="14">
        <f t="shared" si="16"/>
        <v>2</v>
      </c>
      <c r="V214" s="53">
        <f>V213</f>
        <v>3.1733333333333373</v>
      </c>
    </row>
    <row r="215" spans="20:22" ht="15.75">
      <c r="T215" s="10">
        <v>139</v>
      </c>
      <c r="U215" s="14">
        <f t="shared" si="16"/>
        <v>2</v>
      </c>
      <c r="V215" s="53">
        <f>V214+$V$75</f>
        <v>3.220000000000004</v>
      </c>
    </row>
    <row r="216" spans="20:22" ht="15.75">
      <c r="T216" s="10">
        <v>140</v>
      </c>
      <c r="U216" s="14">
        <f t="shared" si="16"/>
        <v>-2</v>
      </c>
      <c r="V216" s="53">
        <f>V215</f>
        <v>3.220000000000004</v>
      </c>
    </row>
    <row r="217" spans="20:22" ht="15.75">
      <c r="T217" s="10">
        <v>141</v>
      </c>
      <c r="U217" s="14">
        <f t="shared" si="16"/>
        <v>-2</v>
      </c>
      <c r="V217" s="53">
        <f>V216+$V$75</f>
        <v>3.266666666666671</v>
      </c>
    </row>
    <row r="218" spans="20:22" ht="15.75">
      <c r="T218" s="10">
        <v>142</v>
      </c>
      <c r="U218" s="14">
        <f t="shared" si="16"/>
        <v>2</v>
      </c>
      <c r="V218" s="53">
        <f>V217</f>
        <v>3.266666666666671</v>
      </c>
    </row>
    <row r="219" spans="20:22" ht="15.75">
      <c r="T219" s="10">
        <v>143</v>
      </c>
      <c r="U219" s="14">
        <f t="shared" si="16"/>
        <v>2</v>
      </c>
      <c r="V219" s="53">
        <f>V218+$V$75</f>
        <v>3.313333333333338</v>
      </c>
    </row>
    <row r="220" spans="20:22" ht="15.75">
      <c r="T220" s="10">
        <v>144</v>
      </c>
      <c r="U220" s="14">
        <f t="shared" si="16"/>
        <v>-2</v>
      </c>
      <c r="V220" s="53">
        <f>V219</f>
        <v>3.313333333333338</v>
      </c>
    </row>
    <row r="221" spans="20:22" ht="15.75">
      <c r="T221" s="10">
        <v>145</v>
      </c>
      <c r="U221" s="14">
        <f t="shared" si="16"/>
        <v>-2</v>
      </c>
      <c r="V221" s="53">
        <f>V220+$V$75</f>
        <v>3.3600000000000048</v>
      </c>
    </row>
    <row r="222" spans="20:22" ht="15.75">
      <c r="T222" s="10">
        <v>146</v>
      </c>
      <c r="U222" s="14">
        <f t="shared" si="16"/>
        <v>2</v>
      </c>
      <c r="V222" s="53">
        <f>V221</f>
        <v>3.3600000000000048</v>
      </c>
    </row>
    <row r="223" spans="20:22" ht="15.75">
      <c r="T223" s="10">
        <v>147</v>
      </c>
      <c r="U223" s="14">
        <f t="shared" si="16"/>
        <v>2</v>
      </c>
      <c r="V223" s="53">
        <f>V222+$V$75</f>
        <v>3.4066666666666716</v>
      </c>
    </row>
    <row r="224" spans="20:22" ht="15.75">
      <c r="T224" s="10">
        <v>148</v>
      </c>
      <c r="U224" s="14">
        <f t="shared" si="16"/>
        <v>-2</v>
      </c>
      <c r="V224" s="53">
        <f>V223</f>
        <v>3.4066666666666716</v>
      </c>
    </row>
    <row r="225" spans="20:22" ht="15.75">
      <c r="T225" s="10">
        <v>149</v>
      </c>
      <c r="U225" s="14">
        <f t="shared" si="16"/>
        <v>-2</v>
      </c>
      <c r="V225" s="53">
        <f>V224+$V$75</f>
        <v>3.4533333333333385</v>
      </c>
    </row>
    <row r="226" spans="20:22" ht="15.75">
      <c r="T226" s="10">
        <v>150</v>
      </c>
      <c r="U226" s="58">
        <f t="shared" si="16"/>
        <v>2</v>
      </c>
      <c r="V226" s="53">
        <f>V225</f>
        <v>3.4533333333333385</v>
      </c>
    </row>
    <row r="227" ht="15.75">
      <c r="U227" s="2" t="s">
        <v>177</v>
      </c>
    </row>
    <row r="228" spans="19:22" ht="15.75">
      <c r="S228" s="1">
        <v>1</v>
      </c>
      <c r="T228" s="1">
        <v>1</v>
      </c>
      <c r="U228" s="161">
        <f>S228*SQRT(0.95*$X$68^2-V228^2)</f>
        <v>1.9493588689617927</v>
      </c>
      <c r="V228" s="53">
        <v>0</v>
      </c>
    </row>
    <row r="229" spans="19:22" ht="15.75">
      <c r="S229" s="1">
        <v>-1</v>
      </c>
      <c r="T229" s="1">
        <v>2</v>
      </c>
      <c r="U229" s="161">
        <f aca="true" t="shared" si="17" ref="U229:U292">S229*SQRT(0.95*$X$68^2-V229^2)</f>
        <v>-1.9493588689617927</v>
      </c>
      <c r="V229" s="53">
        <f>V228</f>
        <v>0</v>
      </c>
    </row>
    <row r="230" spans="19:22" ht="15.75">
      <c r="S230" s="1">
        <v>-1</v>
      </c>
      <c r="T230" s="1">
        <v>3</v>
      </c>
      <c r="U230" s="161">
        <f t="shared" si="17"/>
        <v>-1.9488002006932938</v>
      </c>
      <c r="V230" s="53">
        <f aca="true" t="shared" si="18" ref="V230:V237">V228-$V$75</f>
        <v>-0.04666666666666667</v>
      </c>
    </row>
    <row r="231" spans="19:22" ht="15.75">
      <c r="S231" s="1">
        <v>1</v>
      </c>
      <c r="T231" s="1">
        <v>4</v>
      </c>
      <c r="U231" s="161">
        <f t="shared" si="17"/>
        <v>1.9488002006932938</v>
      </c>
      <c r="V231" s="53">
        <f t="shared" si="18"/>
        <v>-0.04666666666666667</v>
      </c>
    </row>
    <row r="232" spans="19:22" ht="15.75">
      <c r="S232" s="1">
        <v>1</v>
      </c>
      <c r="T232" s="1">
        <v>5</v>
      </c>
      <c r="U232" s="161">
        <f t="shared" si="17"/>
        <v>1.9471232341300047</v>
      </c>
      <c r="V232" s="53">
        <f t="shared" si="18"/>
        <v>-0.09333333333333334</v>
      </c>
    </row>
    <row r="233" spans="19:22" ht="15.75">
      <c r="S233" s="1">
        <f>S229</f>
        <v>-1</v>
      </c>
      <c r="T233" s="1">
        <v>6</v>
      </c>
      <c r="U233" s="161">
        <f t="shared" si="17"/>
        <v>-1.9471232341300047</v>
      </c>
      <c r="V233" s="53">
        <f t="shared" si="18"/>
        <v>-0.09333333333333334</v>
      </c>
    </row>
    <row r="234" spans="19:22" ht="15.75">
      <c r="S234" s="1">
        <f aca="true" t="shared" si="19" ref="S234:S297">S230</f>
        <v>-1</v>
      </c>
      <c r="T234" s="1">
        <v>7</v>
      </c>
      <c r="U234" s="161">
        <f t="shared" si="17"/>
        <v>-1.9443250757010773</v>
      </c>
      <c r="V234" s="53">
        <f t="shared" si="18"/>
        <v>-0.14</v>
      </c>
    </row>
    <row r="235" spans="19:22" ht="15.75">
      <c r="S235" s="1">
        <f t="shared" si="19"/>
        <v>1</v>
      </c>
      <c r="T235" s="10">
        <v>8</v>
      </c>
      <c r="U235" s="161">
        <f t="shared" si="17"/>
        <v>1.9443250757010773</v>
      </c>
      <c r="V235" s="53">
        <f t="shared" si="18"/>
        <v>-0.14</v>
      </c>
    </row>
    <row r="236" spans="19:22" ht="15.75">
      <c r="S236" s="1">
        <f t="shared" si="19"/>
        <v>1</v>
      </c>
      <c r="T236" s="10">
        <v>9</v>
      </c>
      <c r="U236" s="161">
        <f t="shared" si="17"/>
        <v>1.9404008749625825</v>
      </c>
      <c r="V236" s="53">
        <f t="shared" si="18"/>
        <v>-0.18666666666666668</v>
      </c>
    </row>
    <row r="237" spans="19:22" ht="15.75">
      <c r="S237" s="1">
        <f t="shared" si="19"/>
        <v>-1</v>
      </c>
      <c r="T237" s="10">
        <v>10</v>
      </c>
      <c r="U237" s="161">
        <f t="shared" si="17"/>
        <v>-1.9404008749625825</v>
      </c>
      <c r="V237" s="53">
        <f t="shared" si="18"/>
        <v>-0.18666666666666668</v>
      </c>
    </row>
    <row r="238" spans="19:22" ht="15.75">
      <c r="S238" s="1">
        <f t="shared" si="19"/>
        <v>-1</v>
      </c>
      <c r="T238" s="1">
        <v>11</v>
      </c>
      <c r="U238" s="161">
        <f t="shared" si="17"/>
        <v>-1.9353437822659714</v>
      </c>
      <c r="V238" s="53">
        <f aca="true" t="shared" si="20" ref="V238:V252">V236-$V$75</f>
        <v>-0.23333333333333334</v>
      </c>
    </row>
    <row r="239" spans="19:22" ht="15.75">
      <c r="S239" s="1">
        <f t="shared" si="19"/>
        <v>1</v>
      </c>
      <c r="T239" s="10">
        <v>12</v>
      </c>
      <c r="U239" s="161">
        <f t="shared" si="17"/>
        <v>1.9353437822659714</v>
      </c>
      <c r="V239" s="53">
        <f t="shared" si="20"/>
        <v>-0.23333333333333334</v>
      </c>
    </row>
    <row r="240" spans="19:22" ht="15.75">
      <c r="S240" s="1">
        <f t="shared" si="19"/>
        <v>1</v>
      </c>
      <c r="T240" s="10">
        <v>13</v>
      </c>
      <c r="U240" s="161">
        <f t="shared" si="17"/>
        <v>1.9291448882859992</v>
      </c>
      <c r="V240" s="53">
        <f t="shared" si="20"/>
        <v>-0.28</v>
      </c>
    </row>
    <row r="241" spans="19:22" ht="15.75">
      <c r="S241" s="1">
        <f t="shared" si="19"/>
        <v>-1</v>
      </c>
      <c r="T241" s="10">
        <v>14</v>
      </c>
      <c r="U241" s="161">
        <f t="shared" si="17"/>
        <v>-1.9291448882859992</v>
      </c>
      <c r="V241" s="53">
        <f t="shared" si="20"/>
        <v>-0.28</v>
      </c>
    </row>
    <row r="242" spans="19:22" ht="15.75">
      <c r="S242" s="1">
        <f t="shared" si="19"/>
        <v>-1</v>
      </c>
      <c r="T242" s="1">
        <v>15</v>
      </c>
      <c r="U242" s="161">
        <f t="shared" si="17"/>
        <v>-1.9217931441466036</v>
      </c>
      <c r="V242" s="53">
        <f t="shared" si="20"/>
        <v>-0.3266666666666667</v>
      </c>
    </row>
    <row r="243" spans="19:22" ht="15.75">
      <c r="S243" s="1">
        <f t="shared" si="19"/>
        <v>1</v>
      </c>
      <c r="T243" s="10">
        <v>16</v>
      </c>
      <c r="U243" s="161">
        <f t="shared" si="17"/>
        <v>1.9217931441466036</v>
      </c>
      <c r="V243" s="53">
        <f t="shared" si="20"/>
        <v>-0.3266666666666667</v>
      </c>
    </row>
    <row r="244" spans="19:22" ht="15.75">
      <c r="S244" s="1">
        <f t="shared" si="19"/>
        <v>1</v>
      </c>
      <c r="T244" s="10">
        <v>17</v>
      </c>
      <c r="U244" s="161">
        <f t="shared" si="17"/>
        <v>1.9132752604427368</v>
      </c>
      <c r="V244" s="53">
        <f t="shared" si="20"/>
        <v>-0.3733333333333334</v>
      </c>
    </row>
    <row r="245" spans="19:22" ht="15.75">
      <c r="S245" s="1">
        <f t="shared" si="19"/>
        <v>-1</v>
      </c>
      <c r="T245" s="10">
        <v>18</v>
      </c>
      <c r="U245" s="161">
        <f t="shared" si="17"/>
        <v>-1.9132752604427368</v>
      </c>
      <c r="V245" s="53">
        <f t="shared" si="20"/>
        <v>-0.3733333333333334</v>
      </c>
    </row>
    <row r="246" spans="19:22" ht="15.75">
      <c r="S246" s="1">
        <f t="shared" si="19"/>
        <v>-1</v>
      </c>
      <c r="T246" s="1">
        <v>19</v>
      </c>
      <c r="U246" s="161">
        <f t="shared" si="17"/>
        <v>-1.9035755829490983</v>
      </c>
      <c r="V246" s="53">
        <f t="shared" si="20"/>
        <v>-0.4200000000000001</v>
      </c>
    </row>
    <row r="247" spans="19:22" ht="15.75">
      <c r="S247" s="1">
        <f t="shared" si="19"/>
        <v>1</v>
      </c>
      <c r="T247" s="10">
        <v>20</v>
      </c>
      <c r="U247" s="161">
        <f t="shared" si="17"/>
        <v>1.9035755829490983</v>
      </c>
      <c r="V247" s="53">
        <f t="shared" si="20"/>
        <v>-0.4200000000000001</v>
      </c>
    </row>
    <row r="248" spans="19:22" ht="15.75">
      <c r="S248" s="1">
        <f t="shared" si="19"/>
        <v>1</v>
      </c>
      <c r="T248" s="10">
        <v>21</v>
      </c>
      <c r="U248" s="161">
        <f t="shared" si="17"/>
        <v>1.8926759422104518</v>
      </c>
      <c r="V248" s="53">
        <f t="shared" si="20"/>
        <v>-0.4666666666666668</v>
      </c>
    </row>
    <row r="249" spans="19:22" ht="15.75">
      <c r="S249" s="1">
        <f t="shared" si="19"/>
        <v>-1</v>
      </c>
      <c r="T249" s="10">
        <v>22</v>
      </c>
      <c r="U249" s="161">
        <f t="shared" si="17"/>
        <v>-1.8926759422104518</v>
      </c>
      <c r="V249" s="53">
        <f t="shared" si="20"/>
        <v>-0.4666666666666668</v>
      </c>
    </row>
    <row r="250" spans="19:22" ht="15.75">
      <c r="S250" s="1">
        <f t="shared" si="19"/>
        <v>-1</v>
      </c>
      <c r="T250" s="1">
        <v>23</v>
      </c>
      <c r="U250" s="161">
        <f t="shared" si="17"/>
        <v>-1.8805554734941718</v>
      </c>
      <c r="V250" s="53">
        <f t="shared" si="20"/>
        <v>-0.5133333333333334</v>
      </c>
    </row>
    <row r="251" spans="19:22" ht="15.75">
      <c r="S251" s="1">
        <f t="shared" si="19"/>
        <v>1</v>
      </c>
      <c r="T251" s="10">
        <v>24</v>
      </c>
      <c r="U251" s="161">
        <f t="shared" si="17"/>
        <v>1.8805554734941718</v>
      </c>
      <c r="V251" s="53">
        <f t="shared" si="20"/>
        <v>-0.5133333333333334</v>
      </c>
    </row>
    <row r="252" spans="19:22" ht="15.75">
      <c r="S252" s="1">
        <f t="shared" si="19"/>
        <v>1</v>
      </c>
      <c r="T252" s="10">
        <v>25</v>
      </c>
      <c r="U252" s="161">
        <f t="shared" si="17"/>
        <v>1.8671904027174089</v>
      </c>
      <c r="V252" s="53">
        <f t="shared" si="20"/>
        <v>-0.56</v>
      </c>
    </row>
    <row r="253" spans="19:22" ht="15.75">
      <c r="S253" s="1">
        <f t="shared" si="19"/>
        <v>-1</v>
      </c>
      <c r="T253" s="1">
        <v>26</v>
      </c>
      <c r="U253" s="161">
        <f t="shared" si="17"/>
        <v>-1.8671904027174089</v>
      </c>
      <c r="V253" s="53">
        <f>V251-$V$75</f>
        <v>-0.56</v>
      </c>
    </row>
    <row r="254" spans="19:22" ht="15.75">
      <c r="S254" s="1">
        <f t="shared" si="19"/>
        <v>-1</v>
      </c>
      <c r="T254" s="10">
        <v>27</v>
      </c>
      <c r="U254" s="161">
        <f t="shared" si="17"/>
        <v>-1.8525537928911957</v>
      </c>
      <c r="V254" s="53">
        <f>V252-$V$75</f>
        <v>-0.6066666666666667</v>
      </c>
    </row>
    <row r="255" spans="19:22" ht="15.75">
      <c r="S255" s="1">
        <f t="shared" si="19"/>
        <v>1</v>
      </c>
      <c r="T255" s="10">
        <v>28</v>
      </c>
      <c r="U255" s="161">
        <f t="shared" si="17"/>
        <v>1.8525537928911957</v>
      </c>
      <c r="V255" s="53">
        <f>V253-$V$75</f>
        <v>-0.6066666666666667</v>
      </c>
    </row>
    <row r="256" spans="19:22" ht="15.75">
      <c r="S256" s="1">
        <f t="shared" si="19"/>
        <v>1</v>
      </c>
      <c r="T256" s="10">
        <v>29</v>
      </c>
      <c r="U256" s="161">
        <f t="shared" si="17"/>
        <v>1.8366152442892212</v>
      </c>
      <c r="V256" s="53">
        <f>V254-$V$75</f>
        <v>-0.6533333333333333</v>
      </c>
    </row>
    <row r="257" spans="19:22" ht="15.75">
      <c r="S257" s="1">
        <f t="shared" si="19"/>
        <v>-1</v>
      </c>
      <c r="T257" s="1">
        <v>30</v>
      </c>
      <c r="U257" s="161">
        <f t="shared" si="17"/>
        <v>-1.8366152442892212</v>
      </c>
      <c r="V257" s="53">
        <f aca="true" t="shared" si="21" ref="V257:V313">V255-$V$75</f>
        <v>-0.6533333333333333</v>
      </c>
    </row>
    <row r="258" spans="19:22" ht="15.75">
      <c r="S258" s="1">
        <f t="shared" si="19"/>
        <v>-1</v>
      </c>
      <c r="T258" s="10">
        <v>31</v>
      </c>
      <c r="U258" s="161">
        <f t="shared" si="17"/>
        <v>-1.8193405398660252</v>
      </c>
      <c r="V258" s="53">
        <f t="shared" si="21"/>
        <v>-0.7</v>
      </c>
    </row>
    <row r="259" spans="19:22" ht="15.75">
      <c r="S259" s="1">
        <f t="shared" si="19"/>
        <v>1</v>
      </c>
      <c r="T259" s="10">
        <v>32</v>
      </c>
      <c r="U259" s="161">
        <f t="shared" si="17"/>
        <v>1.8193405398660252</v>
      </c>
      <c r="V259" s="53">
        <f t="shared" si="21"/>
        <v>-0.7</v>
      </c>
    </row>
    <row r="260" spans="19:22" ht="15.75">
      <c r="S260" s="1">
        <f t="shared" si="19"/>
        <v>1</v>
      </c>
      <c r="T260" s="10">
        <v>33</v>
      </c>
      <c r="U260" s="161">
        <f t="shared" si="17"/>
        <v>1.8006912253045742</v>
      </c>
      <c r="V260" s="53">
        <f t="shared" si="21"/>
        <v>-0.7466666666666666</v>
      </c>
    </row>
    <row r="261" spans="19:22" ht="15.75">
      <c r="S261" s="1">
        <f t="shared" si="19"/>
        <v>-1</v>
      </c>
      <c r="T261" s="1">
        <v>34</v>
      </c>
      <c r="U261" s="161">
        <f t="shared" si="17"/>
        <v>-1.8006912253045742</v>
      </c>
      <c r="V261" s="53">
        <f t="shared" si="21"/>
        <v>-0.7466666666666666</v>
      </c>
    </row>
    <row r="262" spans="19:22" ht="15.75">
      <c r="S262" s="1">
        <f t="shared" si="19"/>
        <v>-1</v>
      </c>
      <c r="T262" s="10">
        <v>35</v>
      </c>
      <c r="U262" s="161">
        <f t="shared" si="17"/>
        <v>-1.780624110311388</v>
      </c>
      <c r="V262" s="53">
        <f t="shared" si="21"/>
        <v>-0.7933333333333332</v>
      </c>
    </row>
    <row r="263" spans="19:22" ht="15.75">
      <c r="S263" s="1">
        <f t="shared" si="19"/>
        <v>1</v>
      </c>
      <c r="T263" s="10">
        <v>36</v>
      </c>
      <c r="U263" s="161">
        <f t="shared" si="17"/>
        <v>1.780624110311388</v>
      </c>
      <c r="V263" s="53">
        <f t="shared" si="21"/>
        <v>-0.7933333333333332</v>
      </c>
    </row>
    <row r="264" spans="19:22" ht="15.75">
      <c r="S264" s="1">
        <f t="shared" si="19"/>
        <v>1</v>
      </c>
      <c r="T264" s="10">
        <v>37</v>
      </c>
      <c r="U264" s="161">
        <f t="shared" si="17"/>
        <v>1.7590906741836818</v>
      </c>
      <c r="V264" s="53">
        <f t="shared" si="21"/>
        <v>-0.8399999999999999</v>
      </c>
    </row>
    <row r="265" spans="19:22" ht="15.75">
      <c r="S265" s="1">
        <f t="shared" si="19"/>
        <v>-1</v>
      </c>
      <c r="T265" s="1">
        <v>38</v>
      </c>
      <c r="U265" s="161">
        <f t="shared" si="17"/>
        <v>-1.7590906741836818</v>
      </c>
      <c r="V265" s="53">
        <f t="shared" si="21"/>
        <v>-0.8399999999999999</v>
      </c>
    </row>
    <row r="266" spans="19:22" ht="15.75">
      <c r="S266" s="1">
        <f t="shared" si="19"/>
        <v>-1</v>
      </c>
      <c r="T266" s="10">
        <v>39</v>
      </c>
      <c r="U266" s="161">
        <f t="shared" si="17"/>
        <v>-1.736036353946029</v>
      </c>
      <c r="V266" s="53">
        <f t="shared" si="21"/>
        <v>-0.8866666666666665</v>
      </c>
    </row>
    <row r="267" spans="19:22" ht="15.75">
      <c r="S267" s="1">
        <f t="shared" si="19"/>
        <v>1</v>
      </c>
      <c r="T267" s="10">
        <v>40</v>
      </c>
      <c r="U267" s="161">
        <f t="shared" si="17"/>
        <v>1.736036353946029</v>
      </c>
      <c r="V267" s="53">
        <f t="shared" si="21"/>
        <v>-0.8866666666666665</v>
      </c>
    </row>
    <row r="268" spans="19:22" ht="15.75">
      <c r="S268" s="1">
        <f t="shared" si="19"/>
        <v>1</v>
      </c>
      <c r="T268" s="1">
        <v>41</v>
      </c>
      <c r="U268" s="161">
        <f t="shared" si="17"/>
        <v>1.7113996870657915</v>
      </c>
      <c r="V268" s="53">
        <f t="shared" si="21"/>
        <v>-0.9333333333333331</v>
      </c>
    </row>
    <row r="269" spans="19:22" ht="15.75">
      <c r="S269" s="1">
        <f t="shared" si="19"/>
        <v>-1</v>
      </c>
      <c r="T269" s="10">
        <v>42</v>
      </c>
      <c r="U269" s="161">
        <f t="shared" si="17"/>
        <v>-1.7113996870657915</v>
      </c>
      <c r="V269" s="53">
        <f t="shared" si="21"/>
        <v>-0.9333333333333331</v>
      </c>
    </row>
    <row r="270" spans="19:22" ht="15.75">
      <c r="S270" s="1">
        <f t="shared" si="19"/>
        <v>-1</v>
      </c>
      <c r="T270" s="10">
        <v>43</v>
      </c>
      <c r="U270" s="161">
        <f t="shared" si="17"/>
        <v>-1.6851112722903494</v>
      </c>
      <c r="V270" s="53">
        <f t="shared" si="21"/>
        <v>-0.9799999999999998</v>
      </c>
    </row>
    <row r="271" spans="19:22" ht="15.75">
      <c r="S271" s="1">
        <f t="shared" si="19"/>
        <v>1</v>
      </c>
      <c r="T271" s="10">
        <v>44</v>
      </c>
      <c r="U271" s="161">
        <f t="shared" si="17"/>
        <v>1.6851112722903494</v>
      </c>
      <c r="V271" s="53">
        <f t="shared" si="21"/>
        <v>-0.9799999999999998</v>
      </c>
    </row>
    <row r="272" spans="19:22" ht="15.75">
      <c r="S272" s="1">
        <f t="shared" si="19"/>
        <v>1</v>
      </c>
      <c r="T272" s="1">
        <v>45</v>
      </c>
      <c r="U272" s="161">
        <f t="shared" si="17"/>
        <v>1.657092500603257</v>
      </c>
      <c r="V272" s="53">
        <f t="shared" si="21"/>
        <v>-1.0266666666666664</v>
      </c>
    </row>
    <row r="273" spans="19:22" ht="15.75">
      <c r="S273" s="1">
        <f t="shared" si="19"/>
        <v>-1</v>
      </c>
      <c r="T273" s="10">
        <v>46</v>
      </c>
      <c r="U273" s="161">
        <f t="shared" si="17"/>
        <v>-1.657092500603257</v>
      </c>
      <c r="V273" s="53">
        <f t="shared" si="21"/>
        <v>-1.0266666666666664</v>
      </c>
    </row>
    <row r="274" spans="19:22" ht="15.75">
      <c r="S274" s="1">
        <f t="shared" si="19"/>
        <v>-1</v>
      </c>
      <c r="T274" s="10">
        <v>47</v>
      </c>
      <c r="U274" s="161">
        <f t="shared" si="17"/>
        <v>-1.6272539923305016</v>
      </c>
      <c r="V274" s="53">
        <f t="shared" si="21"/>
        <v>-1.073333333333333</v>
      </c>
    </row>
    <row r="275" spans="19:22" ht="15.75">
      <c r="S275" s="1">
        <f t="shared" si="19"/>
        <v>1</v>
      </c>
      <c r="T275" s="10">
        <v>48</v>
      </c>
      <c r="U275" s="161">
        <f t="shared" si="17"/>
        <v>1.6272539923305016</v>
      </c>
      <c r="V275" s="53">
        <f t="shared" si="21"/>
        <v>-1.073333333333333</v>
      </c>
    </row>
    <row r="276" spans="19:22" ht="15.75">
      <c r="S276" s="1">
        <f t="shared" si="19"/>
        <v>1</v>
      </c>
      <c r="T276" s="1">
        <v>49</v>
      </c>
      <c r="U276" s="161">
        <f t="shared" si="17"/>
        <v>1.5954936540143305</v>
      </c>
      <c r="V276" s="53">
        <f t="shared" si="21"/>
        <v>-1.1199999999999997</v>
      </c>
    </row>
    <row r="277" spans="19:22" ht="15.75">
      <c r="S277" s="1">
        <f t="shared" si="19"/>
        <v>-1</v>
      </c>
      <c r="T277" s="10">
        <v>50</v>
      </c>
      <c r="U277" s="161">
        <f t="shared" si="17"/>
        <v>-1.5954936540143305</v>
      </c>
      <c r="V277" s="53">
        <f t="shared" si="21"/>
        <v>-1.1199999999999997</v>
      </c>
    </row>
    <row r="278" spans="19:22" ht="15.75">
      <c r="S278" s="1">
        <f t="shared" si="19"/>
        <v>-1</v>
      </c>
      <c r="T278" s="10">
        <v>51</v>
      </c>
      <c r="U278" s="161">
        <f t="shared" si="17"/>
        <v>-1.5616942366829973</v>
      </c>
      <c r="V278" s="53">
        <f t="shared" si="21"/>
        <v>-1.1666666666666663</v>
      </c>
    </row>
    <row r="279" spans="19:22" ht="15.75">
      <c r="S279" s="1">
        <f t="shared" si="19"/>
        <v>1</v>
      </c>
      <c r="T279" s="10">
        <v>52</v>
      </c>
      <c r="U279" s="161">
        <f t="shared" si="17"/>
        <v>1.5616942366829973</v>
      </c>
      <c r="V279" s="53">
        <f t="shared" si="21"/>
        <v>-1.1666666666666663</v>
      </c>
    </row>
    <row r="280" spans="19:22" ht="15.75">
      <c r="S280" s="1">
        <f t="shared" si="19"/>
        <v>1</v>
      </c>
      <c r="T280" s="1">
        <v>53</v>
      </c>
      <c r="U280" s="161">
        <f t="shared" si="17"/>
        <v>1.5257202306524689</v>
      </c>
      <c r="V280" s="53">
        <f t="shared" si="21"/>
        <v>-1.213333333333333</v>
      </c>
    </row>
    <row r="281" spans="19:22" ht="15.75">
      <c r="S281" s="1">
        <f t="shared" si="19"/>
        <v>-1</v>
      </c>
      <c r="T281" s="10">
        <v>54</v>
      </c>
      <c r="U281" s="161">
        <f t="shared" si="17"/>
        <v>-1.5257202306524689</v>
      </c>
      <c r="V281" s="53">
        <f t="shared" si="21"/>
        <v>-1.213333333333333</v>
      </c>
    </row>
    <row r="282" spans="19:22" ht="15.75">
      <c r="S282" s="1">
        <f t="shared" si="19"/>
        <v>-1</v>
      </c>
      <c r="T282" s="10">
        <v>55</v>
      </c>
      <c r="U282" s="161">
        <f t="shared" si="17"/>
        <v>-1.4874138630522442</v>
      </c>
      <c r="V282" s="53">
        <f t="shared" si="21"/>
        <v>-1.2599999999999996</v>
      </c>
    </row>
    <row r="283" spans="19:22" ht="15.75">
      <c r="S283" s="1">
        <f t="shared" si="19"/>
        <v>1</v>
      </c>
      <c r="T283" s="10">
        <v>56</v>
      </c>
      <c r="U283" s="161">
        <f t="shared" si="17"/>
        <v>1.4874138630522442</v>
      </c>
      <c r="V283" s="53">
        <f t="shared" si="21"/>
        <v>-1.2599999999999996</v>
      </c>
    </row>
    <row r="284" spans="19:22" ht="15.75">
      <c r="S284" s="1">
        <f t="shared" si="19"/>
        <v>1</v>
      </c>
      <c r="T284" s="1">
        <v>57</v>
      </c>
      <c r="U284" s="161">
        <f t="shared" si="17"/>
        <v>1.446589859712221</v>
      </c>
      <c r="V284" s="53">
        <f t="shared" si="21"/>
        <v>-1.3066666666666662</v>
      </c>
    </row>
    <row r="285" spans="19:22" ht="15.75">
      <c r="S285" s="1">
        <f t="shared" si="19"/>
        <v>-1</v>
      </c>
      <c r="T285" s="10">
        <v>58</v>
      </c>
      <c r="U285" s="161">
        <f t="shared" si="17"/>
        <v>-1.446589859712221</v>
      </c>
      <c r="V285" s="53">
        <f t="shared" si="21"/>
        <v>-1.3066666666666662</v>
      </c>
    </row>
    <row r="286" spans="19:22" ht="15.75">
      <c r="S286" s="1">
        <f t="shared" si="19"/>
        <v>-1</v>
      </c>
      <c r="T286" s="10">
        <v>59</v>
      </c>
      <c r="U286" s="161">
        <f t="shared" si="17"/>
        <v>-1.4030284704484404</v>
      </c>
      <c r="V286" s="53">
        <f t="shared" si="21"/>
        <v>-1.3533333333333328</v>
      </c>
    </row>
    <row r="287" spans="19:22" ht="15.75">
      <c r="S287" s="1">
        <f t="shared" si="19"/>
        <v>1</v>
      </c>
      <c r="T287" s="1">
        <v>60</v>
      </c>
      <c r="U287" s="161">
        <f t="shared" si="17"/>
        <v>1.4030284704484404</v>
      </c>
      <c r="V287" s="53">
        <f t="shared" si="21"/>
        <v>-1.3533333333333328</v>
      </c>
    </row>
    <row r="288" spans="19:22" ht="15.75">
      <c r="S288" s="1">
        <f t="shared" si="19"/>
        <v>1</v>
      </c>
      <c r="T288" s="10">
        <v>61</v>
      </c>
      <c r="U288" s="161">
        <f t="shared" si="17"/>
        <v>1.356465996625054</v>
      </c>
      <c r="V288" s="53">
        <f t="shared" si="21"/>
        <v>-1.3999999999999995</v>
      </c>
    </row>
    <row r="289" spans="19:22" ht="15.75">
      <c r="S289" s="1">
        <f t="shared" si="19"/>
        <v>-1</v>
      </c>
      <c r="T289" s="10">
        <v>62</v>
      </c>
      <c r="U289" s="161">
        <f t="shared" si="17"/>
        <v>-1.356465996625054</v>
      </c>
      <c r="V289" s="53">
        <f t="shared" si="21"/>
        <v>-1.3999999999999995</v>
      </c>
    </row>
    <row r="290" spans="19:22" ht="15.75">
      <c r="S290" s="1">
        <f t="shared" si="19"/>
        <v>-1</v>
      </c>
      <c r="T290" s="10">
        <v>63</v>
      </c>
      <c r="U290" s="161">
        <f t="shared" si="17"/>
        <v>-1.3065816298860002</v>
      </c>
      <c r="V290" s="53">
        <f t="shared" si="21"/>
        <v>-1.446666666666666</v>
      </c>
    </row>
    <row r="291" spans="19:22" ht="15.75">
      <c r="S291" s="1">
        <f t="shared" si="19"/>
        <v>1</v>
      </c>
      <c r="T291" s="1">
        <v>64</v>
      </c>
      <c r="U291" s="161">
        <f t="shared" si="17"/>
        <v>1.3065816298860002</v>
      </c>
      <c r="V291" s="53">
        <f t="shared" si="21"/>
        <v>-1.446666666666666</v>
      </c>
    </row>
    <row r="292" spans="19:22" ht="15.75">
      <c r="S292" s="1">
        <f t="shared" si="19"/>
        <v>1</v>
      </c>
      <c r="T292" s="10">
        <v>65</v>
      </c>
      <c r="U292" s="161">
        <f t="shared" si="17"/>
        <v>1.2529786732245514</v>
      </c>
      <c r="V292" s="53">
        <f t="shared" si="21"/>
        <v>-1.4933333333333327</v>
      </c>
    </row>
    <row r="293" spans="19:22" ht="15.75">
      <c r="S293" s="1">
        <f t="shared" si="19"/>
        <v>-1</v>
      </c>
      <c r="T293" s="10">
        <v>66</v>
      </c>
      <c r="U293" s="161">
        <f aca="true" t="shared" si="22" ref="U293:U313">S293*SQRT(0.95*$X$68^2-V293^2)</f>
        <v>-1.2529786732245514</v>
      </c>
      <c r="V293" s="53">
        <f t="shared" si="21"/>
        <v>-1.4933333333333327</v>
      </c>
    </row>
    <row r="294" spans="19:22" ht="15.75">
      <c r="S294" s="1">
        <f t="shared" si="19"/>
        <v>-1</v>
      </c>
      <c r="T294" s="10">
        <v>67</v>
      </c>
      <c r="U294" s="161">
        <f t="shared" si="22"/>
        <v>-1.1951568934662937</v>
      </c>
      <c r="V294" s="53">
        <f t="shared" si="21"/>
        <v>-1.5399999999999994</v>
      </c>
    </row>
    <row r="295" spans="19:22" ht="15.75">
      <c r="S295" s="1">
        <f t="shared" si="19"/>
        <v>1</v>
      </c>
      <c r="T295" s="1">
        <v>68</v>
      </c>
      <c r="U295" s="161">
        <f t="shared" si="22"/>
        <v>1.1951568934662937</v>
      </c>
      <c r="V295" s="53">
        <f t="shared" si="21"/>
        <v>-1.5399999999999994</v>
      </c>
    </row>
    <row r="296" spans="19:22" ht="15.75">
      <c r="S296" s="1">
        <f t="shared" si="19"/>
        <v>1</v>
      </c>
      <c r="T296" s="10">
        <v>69</v>
      </c>
      <c r="U296" s="161">
        <f t="shared" si="22"/>
        <v>1.1324702596045915</v>
      </c>
      <c r="V296" s="53">
        <f t="shared" si="21"/>
        <v>-1.586666666666666</v>
      </c>
    </row>
    <row r="297" spans="19:22" ht="15.75">
      <c r="S297" s="1">
        <f t="shared" si="19"/>
        <v>-1</v>
      </c>
      <c r="T297" s="10">
        <v>70</v>
      </c>
      <c r="U297" s="161">
        <f t="shared" si="22"/>
        <v>-1.1324702596045915</v>
      </c>
      <c r="V297" s="53">
        <f t="shared" si="21"/>
        <v>-1.586666666666666</v>
      </c>
    </row>
    <row r="298" spans="19:22" ht="15.75">
      <c r="S298" s="1">
        <f aca="true" t="shared" si="23" ref="S298:S313">S294</f>
        <v>-1</v>
      </c>
      <c r="T298" s="10">
        <v>71</v>
      </c>
      <c r="U298" s="161">
        <f t="shared" si="22"/>
        <v>-1.0640593133008254</v>
      </c>
      <c r="V298" s="53">
        <f t="shared" si="21"/>
        <v>-1.6333333333333326</v>
      </c>
    </row>
    <row r="299" spans="19:22" ht="15.75">
      <c r="S299" s="1">
        <f t="shared" si="23"/>
        <v>1</v>
      </c>
      <c r="T299" s="1">
        <v>72</v>
      </c>
      <c r="U299" s="161">
        <f t="shared" si="22"/>
        <v>1.0640593133008254</v>
      </c>
      <c r="V299" s="53">
        <f t="shared" si="21"/>
        <v>-1.6333333333333326</v>
      </c>
    </row>
    <row r="300" spans="19:22" ht="15.75">
      <c r="S300" s="1">
        <f t="shared" si="23"/>
        <v>1</v>
      </c>
      <c r="T300" s="10">
        <v>73</v>
      </c>
      <c r="U300" s="161">
        <f t="shared" si="22"/>
        <v>0.9887365675446632</v>
      </c>
      <c r="V300" s="53">
        <f t="shared" si="21"/>
        <v>-1.6799999999999993</v>
      </c>
    </row>
    <row r="301" spans="19:22" ht="15.75">
      <c r="S301" s="1">
        <f t="shared" si="23"/>
        <v>-1</v>
      </c>
      <c r="T301" s="10">
        <v>74</v>
      </c>
      <c r="U301" s="161">
        <f t="shared" si="22"/>
        <v>-0.9887365675446632</v>
      </c>
      <c r="V301" s="53">
        <f t="shared" si="21"/>
        <v>-1.6799999999999993</v>
      </c>
    </row>
    <row r="302" spans="19:22" ht="15.75">
      <c r="S302" s="1">
        <f t="shared" si="23"/>
        <v>-1</v>
      </c>
      <c r="T302" s="1">
        <v>75</v>
      </c>
      <c r="U302" s="161">
        <f t="shared" si="22"/>
        <v>-0.9047774434755901</v>
      </c>
      <c r="V302" s="53">
        <f t="shared" si="21"/>
        <v>-1.726666666666666</v>
      </c>
    </row>
    <row r="303" spans="19:22" ht="15.75">
      <c r="S303" s="1">
        <f t="shared" si="23"/>
        <v>1</v>
      </c>
      <c r="T303" s="10">
        <v>76</v>
      </c>
      <c r="U303" s="161">
        <f t="shared" si="22"/>
        <v>0.9047774434755901</v>
      </c>
      <c r="V303" s="53">
        <f t="shared" si="21"/>
        <v>-1.726666666666666</v>
      </c>
    </row>
    <row r="304" spans="19:22" ht="15.75">
      <c r="S304" s="1">
        <f t="shared" si="23"/>
        <v>1</v>
      </c>
      <c r="T304" s="10">
        <v>77</v>
      </c>
      <c r="U304" s="161">
        <f t="shared" si="22"/>
        <v>0.8094991592885638</v>
      </c>
      <c r="V304" s="53">
        <f t="shared" si="21"/>
        <v>-1.7733333333333325</v>
      </c>
    </row>
    <row r="305" spans="19:22" ht="15.75">
      <c r="S305" s="1">
        <f t="shared" si="23"/>
        <v>-1</v>
      </c>
      <c r="T305" s="10">
        <v>78</v>
      </c>
      <c r="U305" s="161">
        <f t="shared" si="22"/>
        <v>-0.8094991592885638</v>
      </c>
      <c r="V305" s="53">
        <f t="shared" si="21"/>
        <v>-1.7733333333333325</v>
      </c>
    </row>
    <row r="306" spans="19:22" ht="15.75">
      <c r="S306" s="1">
        <f t="shared" si="23"/>
        <v>-1</v>
      </c>
      <c r="T306" s="1">
        <v>79</v>
      </c>
      <c r="U306" s="161">
        <f t="shared" si="22"/>
        <v>-0.6982836100038455</v>
      </c>
      <c r="V306" s="53">
        <f t="shared" si="21"/>
        <v>-1.8199999999999992</v>
      </c>
    </row>
    <row r="307" spans="19:22" ht="15.75">
      <c r="S307" s="1">
        <f t="shared" si="23"/>
        <v>1</v>
      </c>
      <c r="T307" s="10">
        <v>80</v>
      </c>
      <c r="U307" s="161">
        <f t="shared" si="22"/>
        <v>0.6982836100038455</v>
      </c>
      <c r="V307" s="53">
        <f t="shared" si="21"/>
        <v>-1.8199999999999992</v>
      </c>
    </row>
    <row r="308" spans="19:22" ht="15.75">
      <c r="S308" s="1">
        <f t="shared" si="23"/>
        <v>1</v>
      </c>
      <c r="T308" s="10">
        <v>81</v>
      </c>
      <c r="U308" s="161">
        <f t="shared" si="22"/>
        <v>0.56174331821176</v>
      </c>
      <c r="V308" s="53">
        <f t="shared" si="21"/>
        <v>-1.8666666666666658</v>
      </c>
    </row>
    <row r="309" spans="19:22" ht="15.75">
      <c r="S309" s="1">
        <f t="shared" si="23"/>
        <v>-1</v>
      </c>
      <c r="T309" s="10">
        <v>82</v>
      </c>
      <c r="U309" s="161">
        <f t="shared" si="22"/>
        <v>-0.56174331821176</v>
      </c>
      <c r="V309" s="53">
        <f t="shared" si="21"/>
        <v>-1.8666666666666658</v>
      </c>
    </row>
    <row r="310" spans="19:22" ht="15.75">
      <c r="S310" s="1">
        <f t="shared" si="23"/>
        <v>-1</v>
      </c>
      <c r="T310" s="1">
        <v>83</v>
      </c>
      <c r="U310" s="161">
        <f t="shared" si="22"/>
        <v>-0.37303559556101157</v>
      </c>
      <c r="V310" s="53">
        <f t="shared" si="21"/>
        <v>-1.9133333333333324</v>
      </c>
    </row>
    <row r="311" spans="19:22" ht="15.75">
      <c r="S311" s="1">
        <f t="shared" si="23"/>
        <v>1</v>
      </c>
      <c r="T311" s="10">
        <v>84</v>
      </c>
      <c r="U311" s="161">
        <f t="shared" si="22"/>
        <v>0.37303559556101157</v>
      </c>
      <c r="V311" s="53">
        <f t="shared" si="21"/>
        <v>-1.9133333333333324</v>
      </c>
    </row>
    <row r="312" spans="19:22" ht="15.75">
      <c r="S312" s="1">
        <f t="shared" si="23"/>
        <v>1</v>
      </c>
      <c r="T312" s="10">
        <v>85</v>
      </c>
      <c r="U312" s="161" t="e">
        <f t="shared" si="22"/>
        <v>#NUM!</v>
      </c>
      <c r="V312" s="53">
        <f t="shared" si="21"/>
        <v>-1.959999999999999</v>
      </c>
    </row>
    <row r="313" spans="19:22" ht="15.75">
      <c r="S313" s="1">
        <f t="shared" si="23"/>
        <v>-1</v>
      </c>
      <c r="T313" s="10">
        <v>86</v>
      </c>
      <c r="U313" s="161" t="e">
        <f t="shared" si="22"/>
        <v>#NUM!</v>
      </c>
      <c r="V313" s="53">
        <f t="shared" si="21"/>
        <v>-1.959999999999999</v>
      </c>
    </row>
  </sheetData>
  <sheetProtection password="DEF4" sheet="1" objects="1" scenarios="1" selectLockedCells="1" selectUnlockedCells="1"/>
  <mergeCells count="1">
    <mergeCell ref="B44:C44"/>
  </mergeCells>
  <conditionalFormatting sqref="J3">
    <cfRule type="expression" priority="1" dxfId="0" stopIfTrue="1">
      <formula>I3&gt;300</formula>
    </cfRule>
  </conditionalFormatting>
  <conditionalFormatting sqref="D5">
    <cfRule type="expression" priority="2" dxfId="1" stopIfTrue="1">
      <formula>$C$5&gt;$AB$22</formula>
    </cfRule>
  </conditionalFormatting>
  <conditionalFormatting sqref="I3">
    <cfRule type="cellIs" priority="3" dxfId="0" operator="greaterThan" stopIfTrue="1">
      <formula>300</formula>
    </cfRule>
  </conditionalFormatting>
  <conditionalFormatting sqref="I9">
    <cfRule type="cellIs" priority="4" dxfId="0" operator="greaterThan" stopIfTrue="1">
      <formula>3000</formula>
    </cfRule>
  </conditionalFormatting>
  <conditionalFormatting sqref="C5">
    <cfRule type="expression" priority="5" dxfId="1" stopIfTrue="1">
      <formula>$C$5&gt;1</formula>
    </cfRule>
  </conditionalFormatting>
  <conditionalFormatting sqref="C13">
    <cfRule type="cellIs" priority="6" dxfId="0" operator="greaterThanOrEqual" stopIfTrue="1">
      <formula>3000</formula>
    </cfRule>
  </conditionalFormatting>
  <conditionalFormatting sqref="D13">
    <cfRule type="expression" priority="7" dxfId="1" stopIfTrue="1">
      <formula>$C$13&gt;=3000</formula>
    </cfRule>
  </conditionalFormatting>
  <conditionalFormatting sqref="E13">
    <cfRule type="expression" priority="8" dxfId="2" stopIfTrue="1">
      <formula>AND($C$13&gt;=3000,ROUND(E15/2,0)=ROUNDDOWN(E15/2,0))</formula>
    </cfRule>
  </conditionalFormatting>
  <conditionalFormatting sqref="C24">
    <cfRule type="expression" priority="9" dxfId="3" stopIfTrue="1">
      <formula>AND(I3&gt;=300,ROUND(I3/2,0)-ROUNDDOWN(I3/2,0)=0)</formula>
    </cfRule>
  </conditionalFormatting>
  <conditionalFormatting sqref="K3">
    <cfRule type="expression" priority="10" dxfId="2" stopIfTrue="1">
      <formula>AND(I3&gt;=300,ROUND(U1/2,0)=ROUNDDOWN(U1/2,0))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G42"/>
  <sheetViews>
    <sheetView workbookViewId="0" topLeftCell="A1">
      <selection activeCell="F42" sqref="F42"/>
    </sheetView>
  </sheetViews>
  <sheetFormatPr defaultColWidth="9.140625" defaultRowHeight="12.75"/>
  <cols>
    <col min="2" max="2" width="46.57421875" style="0" bestFit="1" customWidth="1"/>
    <col min="3" max="3" width="10.7109375" style="0" bestFit="1" customWidth="1"/>
    <col min="4" max="4" width="10.00390625" style="0" bestFit="1" customWidth="1"/>
    <col min="5" max="5" width="59.8515625" style="0" bestFit="1" customWidth="1"/>
    <col min="7" max="7" width="11.00390625" style="0" bestFit="1" customWidth="1"/>
  </cols>
  <sheetData>
    <row r="1" ht="12.75">
      <c r="B1" s="102" t="s">
        <v>90</v>
      </c>
    </row>
    <row r="2" spans="2:3" ht="12.75">
      <c r="B2" t="s">
        <v>84</v>
      </c>
      <c r="C2" t="s">
        <v>83</v>
      </c>
    </row>
    <row r="3" spans="1:7" ht="12.75">
      <c r="A3" s="103">
        <v>1E-12</v>
      </c>
      <c r="B3" t="s">
        <v>91</v>
      </c>
      <c r="C3">
        <v>0.9936</v>
      </c>
      <c r="E3" t="s">
        <v>88</v>
      </c>
      <c r="F3">
        <v>177</v>
      </c>
      <c r="G3" t="s">
        <v>92</v>
      </c>
    </row>
    <row r="4" spans="1:7" ht="12.75">
      <c r="A4">
        <v>60</v>
      </c>
      <c r="B4" t="s">
        <v>87</v>
      </c>
      <c r="C4">
        <v>0.0064</v>
      </c>
      <c r="E4" t="s">
        <v>89</v>
      </c>
      <c r="F4">
        <f>F5-F3</f>
        <v>27</v>
      </c>
      <c r="G4" t="s">
        <v>92</v>
      </c>
    </row>
    <row r="5" spans="5:7" ht="12.75">
      <c r="E5" t="s">
        <v>94</v>
      </c>
      <c r="F5">
        <v>204</v>
      </c>
      <c r="G5" t="s">
        <v>92</v>
      </c>
    </row>
    <row r="6" ht="12.75">
      <c r="B6" t="s">
        <v>93</v>
      </c>
    </row>
    <row r="8" ht="12.75">
      <c r="B8" t="s">
        <v>85</v>
      </c>
    </row>
    <row r="9" spans="2:3" ht="12.75">
      <c r="B9" t="s">
        <v>55</v>
      </c>
      <c r="C9">
        <v>1.0064</v>
      </c>
    </row>
    <row r="10" spans="2:4" ht="12.75">
      <c r="B10" t="s">
        <v>86</v>
      </c>
      <c r="C10">
        <v>0.0001</v>
      </c>
      <c r="D10" t="s">
        <v>3</v>
      </c>
    </row>
    <row r="11" spans="2:4" ht="12.75">
      <c r="B11" t="s">
        <v>99</v>
      </c>
      <c r="C11">
        <f>C10</f>
        <v>0.0001</v>
      </c>
      <c r="D11" t="s">
        <v>3</v>
      </c>
    </row>
    <row r="12" spans="2:3" ht="12.75">
      <c r="B12" t="s">
        <v>98</v>
      </c>
      <c r="C12" s="106"/>
    </row>
    <row r="13" spans="2:3" ht="12.75">
      <c r="B13" t="s">
        <v>124</v>
      </c>
      <c r="C13" s="103">
        <f>(0.9936*C9)^(C11/A3)+(0.0064*C9)^(C11/A4)</f>
        <v>0.9999915915725482</v>
      </c>
    </row>
    <row r="18" ht="12.75">
      <c r="B18">
        <f>0.9936^(1000000000000)</f>
        <v>0</v>
      </c>
    </row>
    <row r="19" ht="12.75">
      <c r="B19">
        <f>0.0064^(1/60)</f>
        <v>0.91925570303594</v>
      </c>
    </row>
    <row r="31" spans="2:7" ht="12.75">
      <c r="B31" s="179" t="s">
        <v>194</v>
      </c>
      <c r="C31" t="s">
        <v>193</v>
      </c>
      <c r="D31" t="s">
        <v>192</v>
      </c>
      <c r="E31" t="s">
        <v>189</v>
      </c>
      <c r="F31" t="s">
        <v>188</v>
      </c>
      <c r="G31" t="s">
        <v>187</v>
      </c>
    </row>
    <row r="32" spans="2:7" ht="12.75">
      <c r="B32">
        <f>C32-273</f>
        <v>20</v>
      </c>
      <c r="C32">
        <v>293</v>
      </c>
      <c r="D32" s="173">
        <v>2340</v>
      </c>
      <c r="E32" s="171">
        <f>1/C32</f>
        <v>0.0034129692832764505</v>
      </c>
      <c r="F32" s="172">
        <f>LN(D32)</f>
        <v>7.757906208351747</v>
      </c>
      <c r="G32" s="176">
        <f>$E$41*EXP($E$42/C32)</f>
        <v>2572.3278674177013</v>
      </c>
    </row>
    <row r="33" spans="2:7" ht="12.75">
      <c r="B33">
        <f aca="true" t="shared" si="0" ref="B33:B38">C33-273</f>
        <v>60</v>
      </c>
      <c r="C33">
        <v>333</v>
      </c>
      <c r="D33" s="173">
        <v>19900</v>
      </c>
      <c r="E33" s="171">
        <f aca="true" t="shared" si="1" ref="E33:E38">1/C33</f>
        <v>0.003003003003003003</v>
      </c>
      <c r="F33" s="172">
        <f aca="true" t="shared" si="2" ref="F33:F38">LN(D33)</f>
        <v>9.898475010712584</v>
      </c>
      <c r="G33" s="176">
        <f aca="true" t="shared" si="3" ref="G33:G38">$E$41*EXP($E$42/C33)</f>
        <v>19263.20256094489</v>
      </c>
    </row>
    <row r="34" spans="2:7" ht="12.75">
      <c r="B34">
        <f t="shared" si="0"/>
        <v>100</v>
      </c>
      <c r="C34">
        <v>373</v>
      </c>
      <c r="D34" s="173">
        <v>101300</v>
      </c>
      <c r="E34" s="171">
        <f t="shared" si="1"/>
        <v>0.002680965147453083</v>
      </c>
      <c r="F34" s="172">
        <f t="shared" si="2"/>
        <v>11.525841690236774</v>
      </c>
      <c r="G34" s="176">
        <f t="shared" si="3"/>
        <v>93668.01591618596</v>
      </c>
    </row>
    <row r="35" spans="2:7" ht="12.75">
      <c r="B35">
        <f t="shared" si="0"/>
        <v>150</v>
      </c>
      <c r="C35">
        <v>423</v>
      </c>
      <c r="D35" s="173">
        <v>476000</v>
      </c>
      <c r="E35" s="171">
        <f t="shared" si="1"/>
        <v>0.002364066193853428</v>
      </c>
      <c r="F35" s="172">
        <f t="shared" si="2"/>
        <v>13.073173133213556</v>
      </c>
      <c r="G35" s="176">
        <f t="shared" si="3"/>
        <v>444113.08963459905</v>
      </c>
    </row>
    <row r="36" spans="2:7" ht="12.75">
      <c r="B36">
        <f t="shared" si="0"/>
        <v>200</v>
      </c>
      <c r="C36">
        <v>473</v>
      </c>
      <c r="D36" s="173">
        <v>1550000</v>
      </c>
      <c r="E36" s="171">
        <f t="shared" si="1"/>
        <v>0.0021141649048625794</v>
      </c>
      <c r="F36" s="172">
        <f t="shared" si="2"/>
        <v>14.253765488895429</v>
      </c>
      <c r="G36" s="176">
        <f t="shared" si="3"/>
        <v>1515301.1192087706</v>
      </c>
    </row>
    <row r="37" spans="2:7" ht="12.75">
      <c r="B37">
        <f t="shared" si="0"/>
        <v>250</v>
      </c>
      <c r="C37">
        <v>523</v>
      </c>
      <c r="D37" s="173">
        <v>3980000</v>
      </c>
      <c r="E37" s="171">
        <f t="shared" si="1"/>
        <v>0.0019120458891013384</v>
      </c>
      <c r="F37" s="172">
        <f t="shared" si="2"/>
        <v>15.196792377260621</v>
      </c>
      <c r="G37" s="176">
        <f t="shared" si="3"/>
        <v>4088756.444691547</v>
      </c>
    </row>
    <row r="38" spans="2:7" ht="12.75">
      <c r="B38">
        <f t="shared" si="0"/>
        <v>300</v>
      </c>
      <c r="C38">
        <v>573</v>
      </c>
      <c r="D38" s="173">
        <v>8590000</v>
      </c>
      <c r="E38" s="171">
        <f t="shared" si="1"/>
        <v>0.0017452006980802793</v>
      </c>
      <c r="F38" s="172">
        <f t="shared" si="2"/>
        <v>15.966109293960438</v>
      </c>
      <c r="G38" s="176">
        <f t="shared" si="3"/>
        <v>9277891.330800654</v>
      </c>
    </row>
    <row r="40" spans="5:6" ht="12.75">
      <c r="E40" t="s">
        <v>195</v>
      </c>
      <c r="F40" t="s">
        <v>196</v>
      </c>
    </row>
    <row r="41" spans="5:6" ht="12.75">
      <c r="E41" s="174">
        <f>EXP(24.614)</f>
        <v>48946808274.13343</v>
      </c>
      <c r="F41" t="s">
        <v>196</v>
      </c>
    </row>
    <row r="42" ht="12.75">
      <c r="E42" s="175">
        <v>-4911.1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26" customWidth="1"/>
    <col min="2" max="2" width="2.8515625" style="26" customWidth="1"/>
    <col min="3" max="3" width="12.00390625" style="26" customWidth="1"/>
    <col min="4" max="16384" width="9.140625" style="26" customWidth="1"/>
  </cols>
  <sheetData>
    <row r="2" ht="18.75">
      <c r="B2" s="33" t="s">
        <v>16</v>
      </c>
    </row>
    <row r="4" spans="2:3" ht="15.75">
      <c r="B4" s="36" t="s">
        <v>10</v>
      </c>
      <c r="C4" s="36" t="s">
        <v>34</v>
      </c>
    </row>
    <row r="5" spans="2:28" ht="15.75">
      <c r="B5" s="26" t="s">
        <v>9</v>
      </c>
      <c r="AA5" s="26" t="s">
        <v>0</v>
      </c>
      <c r="AB5" s="31">
        <f>C15</f>
        <v>4</v>
      </c>
    </row>
    <row r="6" spans="2:28" ht="16.5" thickBot="1">
      <c r="B6" s="30" t="s">
        <v>29</v>
      </c>
      <c r="C6" s="26" t="s">
        <v>11</v>
      </c>
      <c r="AA6" s="26" t="s">
        <v>7</v>
      </c>
      <c r="AB6" s="27">
        <v>9.81</v>
      </c>
    </row>
    <row r="7" spans="3:29" ht="18" thickBot="1">
      <c r="C7" s="32" t="s">
        <v>13</v>
      </c>
      <c r="AA7" s="26" t="s">
        <v>6</v>
      </c>
      <c r="AB7" s="26" t="s">
        <v>19</v>
      </c>
      <c r="AC7" s="26" t="s">
        <v>20</v>
      </c>
    </row>
    <row r="8" spans="3:30" ht="15.75">
      <c r="C8" s="26" t="s">
        <v>12</v>
      </c>
      <c r="AA8" s="31">
        <v>0</v>
      </c>
      <c r="AB8" s="31">
        <f aca="true" t="shared" si="0" ref="AB8:AB18">$AB$5*AA8</f>
        <v>0</v>
      </c>
      <c r="AC8" s="28">
        <f aca="true" t="shared" si="1" ref="AC8:AC18">0.5*$AB$6*AA8^2</f>
        <v>0</v>
      </c>
      <c r="AD8" s="29">
        <f>-AC8</f>
        <v>0</v>
      </c>
    </row>
    <row r="9" spans="2:30" ht="16.5" thickBot="1">
      <c r="B9" s="30" t="s">
        <v>29</v>
      </c>
      <c r="C9" s="26" t="s">
        <v>17</v>
      </c>
      <c r="AA9" s="31">
        <v>0.1</v>
      </c>
      <c r="AB9" s="31">
        <f t="shared" si="0"/>
        <v>0.4</v>
      </c>
      <c r="AC9" s="28">
        <f t="shared" si="1"/>
        <v>0.04905000000000001</v>
      </c>
      <c r="AD9" s="29">
        <f aca="true" t="shared" si="2" ref="AD9:AD14">-AC9</f>
        <v>-0.04905000000000001</v>
      </c>
    </row>
    <row r="10" spans="3:30" ht="19.5" thickBot="1">
      <c r="C10" s="32" t="s">
        <v>15</v>
      </c>
      <c r="AA10" s="31">
        <v>0.2</v>
      </c>
      <c r="AB10" s="31">
        <f t="shared" si="0"/>
        <v>0.8</v>
      </c>
      <c r="AC10" s="28">
        <f t="shared" si="1"/>
        <v>0.19620000000000004</v>
      </c>
      <c r="AD10" s="29">
        <f t="shared" si="2"/>
        <v>-0.19620000000000004</v>
      </c>
    </row>
    <row r="11" spans="3:30" ht="18.75">
      <c r="C11" s="26" t="s">
        <v>18</v>
      </c>
      <c r="AA11" s="31">
        <v>0.3</v>
      </c>
      <c r="AB11" s="31">
        <f t="shared" si="0"/>
        <v>1.2</v>
      </c>
      <c r="AC11" s="28">
        <f t="shared" si="1"/>
        <v>0.44145</v>
      </c>
      <c r="AD11" s="29">
        <f t="shared" si="2"/>
        <v>-0.44145</v>
      </c>
    </row>
    <row r="12" spans="27:30" ht="15.75">
      <c r="AA12" s="31">
        <v>0.4</v>
      </c>
      <c r="AB12" s="31">
        <f t="shared" si="0"/>
        <v>1.6</v>
      </c>
      <c r="AC12" s="28">
        <f t="shared" si="1"/>
        <v>0.7848000000000002</v>
      </c>
      <c r="AD12" s="29">
        <f t="shared" si="2"/>
        <v>-0.7848000000000002</v>
      </c>
    </row>
    <row r="13" spans="2:30" ht="15.75">
      <c r="B13" s="25">
        <v>2</v>
      </c>
      <c r="C13" s="36" t="s">
        <v>22</v>
      </c>
      <c r="AA13" s="31">
        <v>0.5</v>
      </c>
      <c r="AB13" s="31">
        <f t="shared" si="0"/>
        <v>2</v>
      </c>
      <c r="AC13" s="28">
        <f t="shared" si="1"/>
        <v>1.22625</v>
      </c>
      <c r="AD13" s="29">
        <f t="shared" si="2"/>
        <v>-1.22625</v>
      </c>
    </row>
    <row r="14" spans="3:30" ht="15.75">
      <c r="C14" s="26" t="s">
        <v>33</v>
      </c>
      <c r="AA14" s="31">
        <v>0.6</v>
      </c>
      <c r="AB14" s="31">
        <f t="shared" si="0"/>
        <v>2.4</v>
      </c>
      <c r="AC14" s="28">
        <f t="shared" si="1"/>
        <v>1.7658</v>
      </c>
      <c r="AD14" s="29">
        <f t="shared" si="2"/>
        <v>-1.7658</v>
      </c>
    </row>
    <row r="15" spans="3:30" ht="15.75">
      <c r="C15" s="37">
        <v>4</v>
      </c>
      <c r="D15" s="35" t="s">
        <v>2</v>
      </c>
      <c r="AA15" s="31">
        <v>0.7</v>
      </c>
      <c r="AB15" s="31">
        <f t="shared" si="0"/>
        <v>2.8</v>
      </c>
      <c r="AC15" s="28">
        <f t="shared" si="1"/>
        <v>2.40345</v>
      </c>
      <c r="AD15" s="29">
        <f>-AC15</f>
        <v>-2.40345</v>
      </c>
    </row>
    <row r="16" spans="3:30" ht="15.75">
      <c r="C16" s="26" t="s">
        <v>28</v>
      </c>
      <c r="AA16" s="31">
        <v>0.8</v>
      </c>
      <c r="AB16" s="31">
        <f t="shared" si="0"/>
        <v>3.2</v>
      </c>
      <c r="AC16" s="28">
        <f t="shared" si="1"/>
        <v>3.1392000000000007</v>
      </c>
      <c r="AD16" s="29">
        <f>-AC16</f>
        <v>-3.1392000000000007</v>
      </c>
    </row>
    <row r="17" spans="2:30" ht="15.75">
      <c r="B17" s="30" t="s">
        <v>29</v>
      </c>
      <c r="C17" s="26" t="s">
        <v>23</v>
      </c>
      <c r="AA17" s="31">
        <v>0.9</v>
      </c>
      <c r="AB17" s="31">
        <f t="shared" si="0"/>
        <v>3.6</v>
      </c>
      <c r="AC17" s="28">
        <f t="shared" si="1"/>
        <v>3.9730500000000006</v>
      </c>
      <c r="AD17" s="29">
        <f>-AC17</f>
        <v>-3.9730500000000006</v>
      </c>
    </row>
    <row r="18" spans="3:30" ht="18.75">
      <c r="C18" s="24" t="s">
        <v>24</v>
      </c>
      <c r="AA18" s="31">
        <v>1</v>
      </c>
      <c r="AB18" s="31">
        <f t="shared" si="0"/>
        <v>4</v>
      </c>
      <c r="AC18" s="28">
        <f t="shared" si="1"/>
        <v>4.905</v>
      </c>
      <c r="AD18" s="29">
        <f>-AC18</f>
        <v>-4.905</v>
      </c>
    </row>
    <row r="19" ht="18.75">
      <c r="C19" s="26" t="s">
        <v>25</v>
      </c>
    </row>
    <row r="20" ht="15.75">
      <c r="C20" s="26" t="s">
        <v>26</v>
      </c>
    </row>
    <row r="21" spans="2:3" ht="15.75">
      <c r="B21" s="30" t="s">
        <v>29</v>
      </c>
      <c r="C21" s="26" t="s">
        <v>27</v>
      </c>
    </row>
    <row r="22" ht="17.25">
      <c r="C22" s="24" t="s">
        <v>13</v>
      </c>
    </row>
    <row r="23" spans="3:7" ht="15.75">
      <c r="C23" s="39" t="s">
        <v>36</v>
      </c>
      <c r="D23" s="34">
        <f>C15</f>
        <v>4</v>
      </c>
      <c r="E23" s="26" t="s">
        <v>37</v>
      </c>
      <c r="F23" s="38">
        <f>D23*1</f>
        <v>4</v>
      </c>
      <c r="G23" s="26" t="s">
        <v>1</v>
      </c>
    </row>
    <row r="25" ht="15.75">
      <c r="C25" s="26" t="s">
        <v>30</v>
      </c>
    </row>
    <row r="43" ht="12" customHeight="1"/>
    <row r="44" ht="15.75">
      <c r="C44" s="26" t="s">
        <v>31</v>
      </c>
    </row>
    <row r="45" ht="15.75">
      <c r="C45" s="26" t="s">
        <v>32</v>
      </c>
    </row>
    <row r="46" ht="8.25" customHeight="1"/>
    <row r="64" spans="2:3" ht="17.25">
      <c r="B64" s="25" t="s">
        <v>21</v>
      </c>
      <c r="C64" s="36" t="s">
        <v>35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2011-03-09T23:27:41Z</dcterms:modified>
  <cp:category/>
  <cp:version/>
  <cp:contentType/>
  <cp:contentStatus/>
</cp:coreProperties>
</file>