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00" yWindow="210" windowWidth="11100" windowHeight="6600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<sst xmlns="http://schemas.openxmlformats.org/spreadsheetml/2006/main" count="165" uniqueCount="147">
  <si>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Inductie bij een val</t>
  </si>
  <si>
    <t>t</t>
  </si>
  <si>
    <t>n</t>
  </si>
  <si>
    <t>dt=</t>
  </si>
  <si>
    <t>starthoogte boven spoel:</t>
  </si>
  <si>
    <t>m</t>
  </si>
  <si>
    <t>Spoellengte =</t>
  </si>
  <si>
    <t>Magneetlengte =</t>
  </si>
  <si>
    <t>Magneetsterkte Bo =</t>
  </si>
  <si>
    <t>Magneetveld =Bo*e^-c(x-xo)^2</t>
  </si>
  <si>
    <t>c=</t>
  </si>
  <si>
    <t>B</t>
  </si>
  <si>
    <t>Fi=B*A</t>
  </si>
  <si>
    <t>opp. A=</t>
  </si>
  <si>
    <t>m^2</t>
  </si>
  <si>
    <t>Valtijd =</t>
  </si>
  <si>
    <t>Windingen N=</t>
  </si>
  <si>
    <t>Spoel</t>
  </si>
  <si>
    <t>x</t>
  </si>
  <si>
    <t>y</t>
  </si>
  <si>
    <t>Magneet</t>
  </si>
  <si>
    <t>Gat in spoel</t>
  </si>
  <si>
    <t>vierkant gat met zijde =</t>
  </si>
  <si>
    <t>cm</t>
  </si>
  <si>
    <t>spoelmaat buitenkant =</t>
  </si>
  <si>
    <t>Magneetbreedte =</t>
  </si>
  <si>
    <t>Draden naar spoel</t>
  </si>
  <si>
    <t>lijndikte =</t>
  </si>
  <si>
    <t>eindhoogte</t>
  </si>
  <si>
    <t>y(t) midden magn.</t>
  </si>
  <si>
    <t>=midden magneet</t>
  </si>
  <si>
    <t>Max. flux:</t>
  </si>
  <si>
    <t xml:space="preserve">resp. </t>
  </si>
  <si>
    <t>Max(abs(Uind))</t>
  </si>
  <si>
    <t xml:space="preserve">Uind </t>
  </si>
  <si>
    <t>Start de val</t>
  </si>
  <si>
    <t>Aantal windingen N =</t>
  </si>
  <si>
    <t>Valhoogte h in m =</t>
  </si>
  <si>
    <t>Veldsterkte B in T =</t>
  </si>
  <si>
    <t>Startpuntstreep</t>
  </si>
  <si>
    <t>Valstippellijn</t>
  </si>
  <si>
    <t>Magneet omdraaien?</t>
  </si>
  <si>
    <r>
      <t>U</t>
    </r>
    <r>
      <rPr>
        <b/>
        <vertAlign val="subscript"/>
        <sz val="10"/>
        <rFont val="Arial"/>
        <family val="2"/>
      </rPr>
      <t>ind</t>
    </r>
    <r>
      <rPr>
        <b/>
        <sz val="10"/>
        <rFont val="Arial"/>
        <family val="2"/>
      </rPr>
      <t xml:space="preserve"> - t grafiek zien?</t>
    </r>
  </si>
  <si>
    <t>een spoel.</t>
  </si>
  <si>
    <t>Omgedraaide magneet</t>
  </si>
  <si>
    <t>Het "aantal veldlijnen" dat door een oppervlak prikt hangt af van:</t>
  </si>
  <si>
    <r>
      <t xml:space="preserve">2. de </t>
    </r>
    <r>
      <rPr>
        <u val="single"/>
        <sz val="12"/>
        <rFont val="Times New Roman"/>
        <family val="1"/>
      </rPr>
      <t>grootte van het oppervlak</t>
    </r>
    <r>
      <rPr>
        <sz val="12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A</t>
    </r>
  </si>
  <si>
    <r>
      <t xml:space="preserve">1. de </t>
    </r>
    <r>
      <rPr>
        <u val="single"/>
        <sz val="12"/>
        <rFont val="Times New Roman"/>
        <family val="1"/>
      </rPr>
      <t>sterkte van het magnetisch veld</t>
    </r>
    <r>
      <rPr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B</t>
    </r>
  </si>
  <si>
    <t>Als B een hoek maakt met het oppervlak ontbinden we B in een</t>
  </si>
  <si>
    <t>component evenwijdig aan het vlak en een component loodrecht</t>
  </si>
  <si>
    <r>
      <t xml:space="preserve">op het vlak: </t>
    </r>
    <r>
      <rPr>
        <u val="single"/>
        <sz val="12"/>
        <rFont val="Times New Roman"/>
        <family val="1"/>
      </rPr>
      <t xml:space="preserve">de normale component </t>
    </r>
    <r>
      <rPr>
        <u val="single"/>
        <sz val="12"/>
        <color indexed="10"/>
        <rFont val="Times New Roman"/>
        <family val="1"/>
      </rPr>
      <t>B</t>
    </r>
    <r>
      <rPr>
        <u val="single"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</si>
  <si>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 xml:space="preserve">Alleen </t>
    </r>
    <r>
      <rPr>
        <b/>
        <sz val="12"/>
        <color indexed="10"/>
        <rFont val="Times New Roman"/>
        <family val="1"/>
      </rPr>
      <t>B</t>
    </r>
    <r>
      <rPr>
        <b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 xml:space="preserve"> geeft een bijdrage aan de flux.</t>
    </r>
  </si>
  <si>
    <t>Uit het voorgaande valt te begrijpen dat geldt:</t>
  </si>
  <si>
    <r>
      <t xml:space="preserve">F </t>
    </r>
    <r>
      <rPr>
        <b/>
        <sz val="12"/>
        <rFont val="Times New Roman"/>
        <family val="1"/>
      </rPr>
      <t>= B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.A</t>
    </r>
  </si>
  <si>
    <r>
      <t xml:space="preserve">3. de </t>
    </r>
    <r>
      <rPr>
        <u val="single"/>
        <sz val="12"/>
        <rFont val="Times New Roman"/>
        <family val="1"/>
      </rPr>
      <t>hoek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tussen het magnetisch veld en het oppervlak.</t>
    </r>
  </si>
  <si>
    <r>
      <t xml:space="preserve">De flux is maximaal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0° en de flux is nul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90°</t>
    </r>
  </si>
  <si>
    <t>1. De magnetische flux door een oppervlak.</t>
  </si>
  <si>
    <t>Als in een winding de flux verandert dan blijkt er tussen de uiteinden van de winding</t>
  </si>
  <si>
    <t>een (inductie)spanning te ontstaan.</t>
  </si>
  <si>
    <t>De inductiewet van Faraday:</t>
  </si>
  <si>
    <r>
      <t>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</t>
    </r>
  </si>
  <si>
    <r>
      <t>Voor deze inductiespanning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geldt:</t>
    </r>
  </si>
  <si>
    <r>
      <t>DF</t>
    </r>
    <r>
      <rPr>
        <sz val="12"/>
        <rFont val="Times New Roman"/>
        <family val="1"/>
      </rPr>
      <t xml:space="preserve"> = fluxverandering.</t>
    </r>
  </si>
  <si>
    <r>
      <t>D</t>
    </r>
    <r>
      <rPr>
        <sz val="12"/>
        <rFont val="Times New Roman"/>
        <family val="1"/>
      </rPr>
      <t>t = tijd waarin de fluxverandering plaats vindt.</t>
    </r>
  </si>
  <si>
    <t>Als je N windingen in serie zet (dat heet een spoel) wordt de totale inductiespanning N maal zo groot:</t>
  </si>
  <si>
    <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is de r.c. van de flux - tijd grafiek.</t>
    </r>
  </si>
  <si>
    <t>flux</t>
  </si>
  <si>
    <t>tijd</t>
  </si>
  <si>
    <t>s</t>
  </si>
  <si>
    <t>mWb</t>
  </si>
  <si>
    <t>Uind</t>
  </si>
  <si>
    <t>N =</t>
  </si>
  <si>
    <t>V</t>
  </si>
  <si>
    <t>Voorbeeld:</t>
  </si>
  <si>
    <t>neemt weer af.</t>
  </si>
  <si>
    <t>De  r.c = 0 als de grafiek horizontaal loopt.</t>
  </si>
  <si>
    <t xml:space="preserve">Van 0,20 tot 0,40 s is de r.c. = 0,40 mWb/0,20s = </t>
  </si>
  <si>
    <t>Van 0,60 tot 0,80 is de r.c = -0,0020 Wb/s</t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</si>
  <si>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0,0020 = 0,20 V</t>
    </r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</si>
  <si>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-0,0020 = -0,20 V</t>
    </r>
  </si>
  <si>
    <t>2. De inductiespanning.</t>
  </si>
  <si>
    <t>Een magneet beweegt met constante snelheid door</t>
  </si>
  <si>
    <t>een spoel met 100 windingen. Zie figuur 1.</t>
  </si>
  <si>
    <t>De flux door de spoel neemt toe, is even constant en</t>
  </si>
  <si>
    <r>
      <t>De inductiespanning bepalen we met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N.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= N . r.c.</t>
    </r>
  </si>
  <si>
    <t>is weergegeven.</t>
  </si>
  <si>
    <t>N.B.:</t>
  </si>
  <si>
    <r>
      <t xml:space="preserve">Dat is schematisch weergegeven in de </t>
    </r>
    <r>
      <rPr>
        <sz val="12"/>
        <color indexed="48"/>
        <rFont val="Times New Roman"/>
        <family val="1"/>
      </rPr>
      <t>grafiek</t>
    </r>
    <r>
      <rPr>
        <sz val="12"/>
        <rFont val="Times New Roman"/>
        <family val="1"/>
      </rPr>
      <t xml:space="preserve"> bij figuur 2.</t>
    </r>
  </si>
  <si>
    <r>
      <t xml:space="preserve">De inductiespanning verloopt dus zoals in de </t>
    </r>
    <r>
      <rPr>
        <sz val="12"/>
        <color indexed="10"/>
        <rFont val="Times New Roman"/>
        <family val="1"/>
      </rPr>
      <t>onderste grafiek</t>
    </r>
  </si>
  <si>
    <t>Inductie in een spoel</t>
  </si>
  <si>
    <t>1.</t>
  </si>
  <si>
    <t>2.</t>
  </si>
  <si>
    <t>De val van een magneet door een spoel:</t>
  </si>
  <si>
    <t>b. De invloed van de snelheid op de inductiespanning</t>
  </si>
  <si>
    <t>c. De invloed van de sterkte van de magneet op de inductiespanning</t>
  </si>
  <si>
    <t>d. De invloed van het aantal windingen op de inductiespanning</t>
  </si>
  <si>
    <t>Theorie</t>
  </si>
  <si>
    <t>Simulatie.</t>
  </si>
  <si>
    <t>a. De flux-tijd en de inductiespanning-tijd grafiek</t>
  </si>
  <si>
    <t xml:space="preserve">                                              = 0,00040Wb/0,20 s = 0,002 Wb/s</t>
  </si>
  <si>
    <t>1. de grafieken vloeiend verlopen.</t>
  </si>
  <si>
    <t>2. de flux sneller af dan toeneemt.</t>
  </si>
  <si>
    <t>Theorie.</t>
  </si>
  <si>
    <r>
      <t>Flux</t>
    </r>
    <r>
      <rPr>
        <sz val="12"/>
        <color indexed="8"/>
        <rFont val="Times New Roman"/>
        <family val="1"/>
      </rPr>
      <t xml:space="preserve"> wordt aangegeven met  </t>
    </r>
    <r>
      <rPr>
        <sz val="12"/>
        <color indexed="48"/>
        <rFont val="Symbol"/>
        <family val="1"/>
      </rPr>
      <t>F</t>
    </r>
    <r>
      <rPr>
        <sz val="12"/>
        <color indexed="8"/>
        <rFont val="Times New Roman"/>
        <family val="1"/>
      </rPr>
      <t xml:space="preserve"> , de Griekse letter F (spreek uit als Fi).</t>
    </r>
  </si>
  <si>
    <t>die door dat oppervlak prikken.</t>
  </si>
  <si>
    <t>Onder de magnetische flux door een oppervlak verstaan we "de hoeveelheid veldlijnen"</t>
  </si>
  <si>
    <t>Onder aan het scherm zie je drie Tabs:</t>
  </si>
  <si>
    <t>Menu</t>
  </si>
  <si>
    <t>3.</t>
  </si>
  <si>
    <t>vs05122004</t>
  </si>
  <si>
    <t>KLOK:</t>
  </si>
  <si>
    <t>schuifbalk, max 100</t>
  </si>
  <si>
    <t>tijdijking x</t>
  </si>
  <si>
    <t>nu()=</t>
  </si>
  <si>
    <t>t =</t>
  </si>
  <si>
    <t>-</t>
  </si>
  <si>
    <t>=</t>
  </si>
  <si>
    <t xml:space="preserve">  </t>
  </si>
  <si>
    <r>
      <t xml:space="preserve">startmacro:1 maal ak5 copie, plak spec in AK4 ivm herberekenen nu(); </t>
    </r>
    <r>
      <rPr>
        <b/>
        <i/>
        <sz val="10"/>
        <rFont val="Arial"/>
        <family val="2"/>
      </rPr>
      <t>AI10 copie, plakken waarde in AK10</t>
    </r>
    <r>
      <rPr>
        <sz val="10"/>
        <rFont val="Arial"/>
        <family val="2"/>
      </rPr>
      <t>; ak5 copie, plak spec in AK4 enz.</t>
    </r>
  </si>
  <si>
    <t>oud stapnr =</t>
  </si>
  <si>
    <t>s(t) is max =</t>
  </si>
  <si>
    <t>nieuw stapnr =</t>
  </si>
  <si>
    <t>t is max =</t>
  </si>
  <si>
    <t>schuifbalk F:1/50</t>
  </si>
  <si>
    <t>dF=</t>
  </si>
  <si>
    <t>Fstuw =</t>
  </si>
  <si>
    <t>reset:AK4:=0; AI9 copie, plakken waarde in AK10</t>
  </si>
  <si>
    <t>t=</t>
  </si>
  <si>
    <t>Reset</t>
  </si>
  <si>
    <t>Val beeindigd? Ja =1</t>
  </si>
  <si>
    <t>Een magneet valt door</t>
  </si>
  <si>
    <r>
      <t xml:space="preserve">Klik boven aan het scherm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alle informatie op het scherm past!</t>
    </r>
  </si>
  <si>
    <r>
      <t xml:space="preserve">Na afloop klik je weer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je het programma kunt afsluiten.</t>
    </r>
  </si>
  <si>
    <r>
      <t>De inductiespanning U</t>
    </r>
    <r>
      <rPr>
        <b/>
        <vertAlign val="subscript"/>
        <sz val="10"/>
        <color indexed="57"/>
        <rFont val="Arial"/>
        <family val="2"/>
      </rPr>
      <t>ind</t>
    </r>
    <r>
      <rPr>
        <b/>
        <sz val="10"/>
        <color indexed="57"/>
        <rFont val="Arial"/>
        <family val="2"/>
      </rPr>
      <t xml:space="preserve"> in de spoel</t>
    </r>
  </si>
  <si>
    <t>als functie van de tijd wordt getekend.</t>
  </si>
  <si>
    <t>als functie van de tijd kun je zichtbaar maken.</t>
  </si>
  <si>
    <t>windingen en de sterkte van de magneet.</t>
  </si>
  <si>
    <t xml:space="preserve">Reset de opstelling en kies daarna de waarde </t>
  </si>
  <si>
    <t>van de valhoogte boven de spoel, het aantal</t>
  </si>
  <si>
    <t>Als de flux snel verandert dan is de inductiespanning groot.</t>
  </si>
  <si>
    <r>
      <t xml:space="preserve">Uit de formule volgt de eenheid van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 xml:space="preserve"> (flux(verandering)): V.s = Wb (Weber)</t>
    </r>
  </si>
  <si>
    <t>Bij de simulatie van de valproef zie je dat</t>
  </si>
  <si>
    <t>3. de eerste piek van de spanning-tijd grafiek daardoor hoger en smaller is dan de tweede piek.</t>
  </si>
  <si>
    <t>magneet omdraaien</t>
  </si>
  <si>
    <t>U-t grafiek zien?</t>
  </si>
  <si>
    <t>De magnetische flux in één winding</t>
  </si>
  <si>
    <t>4. De eerste piek tegengesteld is aan de tweede.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</si>
</sst>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E+00"/>
    <numFmt numFmtId="171" formatCode="0.0"/>
    <numFmt numFmtId="172" formatCode="0.000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E+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3"/>
      <name val="Arial"/>
      <family val="0"/>
    </font>
    <font>
      <sz val="4.25"/>
      <name val="Arial"/>
      <family val="0"/>
    </font>
    <font>
      <b/>
      <sz val="10"/>
      <color indexed="10"/>
      <name val="Arial"/>
      <family val="2"/>
    </font>
    <font>
      <b/>
      <sz val="9.25"/>
      <color indexed="10"/>
      <name val="Arial"/>
      <family val="2"/>
    </font>
    <font>
      <b/>
      <sz val="8.5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.75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Symbol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vertAlign val="subscript"/>
      <sz val="12"/>
      <color indexed="10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b/>
      <u val="single"/>
      <sz val="12"/>
      <color indexed="48"/>
      <name val="Times New Roman"/>
      <family val="1"/>
    </font>
    <font>
      <b/>
      <sz val="10"/>
      <name val="Symbol"/>
      <family val="1"/>
    </font>
    <font>
      <u val="single"/>
      <sz val="12"/>
      <color indexed="8"/>
      <name val="Times New Roman"/>
      <family val="1"/>
    </font>
    <font>
      <b/>
      <sz val="8"/>
      <name val="Arial"/>
      <family val="2"/>
    </font>
    <font>
      <sz val="5.25"/>
      <name val="Arial"/>
      <family val="0"/>
    </font>
    <font>
      <b/>
      <vertAlign val="subscript"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48"/>
      <name val="Arial"/>
      <family val="2"/>
    </font>
    <font>
      <b/>
      <sz val="20"/>
      <color indexed="48"/>
      <name val="Times New Roman"/>
      <family val="1"/>
    </font>
    <font>
      <sz val="8"/>
      <name val="Tahoma"/>
      <family val="2"/>
    </font>
    <font>
      <sz val="30"/>
      <color indexed="10"/>
      <name val="Lucida Calligraphy"/>
      <family val="4"/>
    </font>
    <font>
      <b/>
      <i/>
      <sz val="8"/>
      <color indexed="57"/>
      <name val="Arial"/>
      <family val="2"/>
    </font>
    <font>
      <b/>
      <i/>
      <sz val="10"/>
      <name val="Arial"/>
      <family val="2"/>
    </font>
    <font>
      <b/>
      <vertAlign val="subscript"/>
      <sz val="9.25"/>
      <color indexed="10"/>
      <name val="Arial"/>
      <family val="2"/>
    </font>
    <font>
      <b/>
      <vertAlign val="subscript"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79" fontId="0" fillId="2" borderId="0" xfId="0" applyNumberFormat="1" applyFill="1" applyAlignment="1">
      <alignment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7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2" fontId="18" fillId="2" borderId="6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9" fontId="0" fillId="2" borderId="0" xfId="0" applyNumberForma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179" fontId="9" fillId="2" borderId="0" xfId="0" applyNumberFormat="1" applyFont="1" applyFill="1" applyAlignment="1" applyProtection="1">
      <alignment/>
      <protection hidden="1"/>
    </xf>
    <xf numFmtId="171" fontId="6" fillId="2" borderId="0" xfId="0" applyNumberFormat="1" applyFont="1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 quotePrefix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170" fontId="0" fillId="2" borderId="11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>
      <alignment/>
    </xf>
    <xf numFmtId="11" fontId="0" fillId="2" borderId="0" xfId="0" applyNumberFormat="1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2" fontId="0" fillId="3" borderId="12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 applyProtection="1" quotePrefix="1">
      <alignment horizontal="right"/>
      <protection hidden="1"/>
    </xf>
    <xf numFmtId="21" fontId="0" fillId="3" borderId="0" xfId="0" applyNumberFormat="1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 quotePrefix="1">
      <alignment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 locked="0"/>
    </xf>
    <xf numFmtId="0" fontId="0" fillId="3" borderId="0" xfId="0" applyFont="1" applyFill="1" applyBorder="1" applyAlignment="1" applyProtection="1" quotePrefix="1">
      <alignment horizontal="center"/>
      <protection hidden="1"/>
    </xf>
    <xf numFmtId="177" fontId="0" fillId="3" borderId="0" xfId="0" applyNumberFormat="1" applyFont="1" applyFill="1" applyBorder="1" applyAlignment="1" applyProtection="1">
      <alignment horizontal="right"/>
      <protection hidden="1" locked="0"/>
    </xf>
    <xf numFmtId="2" fontId="1" fillId="3" borderId="0" xfId="0" applyNumberFormat="1" applyFont="1" applyFill="1" applyBorder="1" applyAlignment="1" applyProtection="1" quotePrefix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left"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22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1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1" fontId="0" fillId="3" borderId="15" xfId="0" applyNumberFormat="1" applyFont="1" applyFill="1" applyBorder="1" applyAlignment="1" applyProtection="1">
      <alignment horizontal="center"/>
      <protection hidden="1" locked="0"/>
    </xf>
    <xf numFmtId="0" fontId="0" fillId="3" borderId="15" xfId="0" applyFont="1" applyFill="1" applyBorder="1" applyAlignment="1" applyProtection="1">
      <alignment/>
      <protection hidden="1"/>
    </xf>
    <xf numFmtId="173" fontId="0" fillId="3" borderId="15" xfId="0" applyNumberFormat="1" applyFont="1" applyFill="1" applyBorder="1" applyAlignment="1" applyProtection="1">
      <alignment horizontal="center"/>
      <protection hidden="1"/>
    </xf>
    <xf numFmtId="171" fontId="0" fillId="3" borderId="16" xfId="0" applyNumberFormat="1" applyFont="1" applyFill="1" applyBorder="1" applyAlignment="1" applyProtection="1">
      <alignment/>
      <protection hidden="1"/>
    </xf>
    <xf numFmtId="47" fontId="0" fillId="3" borderId="0" xfId="0" applyNumberFormat="1" applyFont="1" applyFill="1" applyBorder="1" applyAlignment="1" applyProtection="1">
      <alignment/>
      <protection hidden="1"/>
    </xf>
    <xf numFmtId="17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171" fontId="0" fillId="3" borderId="0" xfId="0" applyNumberFormat="1" applyFont="1" applyFill="1" applyBorder="1" applyAlignment="1" applyProtection="1">
      <alignment/>
      <protection hidden="1"/>
    </xf>
    <xf numFmtId="176" fontId="0" fillId="3" borderId="0" xfId="0" applyNumberFormat="1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1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1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locked="0"/>
    </xf>
    <xf numFmtId="0" fontId="45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Fi-t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Simulatie!$AF$23:$AF$223</c:f>
              <c:numCache/>
            </c:numRef>
          </c:yVal>
          <c:smooth val="1"/>
        </c:ser>
        <c:axId val="35751626"/>
        <c:axId val="53329179"/>
      </c:scatterChart>
      <c:valAx>
        <c:axId val="3575162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8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53329179"/>
        <c:crosses val="autoZero"/>
        <c:crossBetween val="midCat"/>
        <c:dispUnits/>
        <c:majorUnit val="0.2"/>
        <c:minorUnit val="0.2"/>
      </c:valAx>
      <c:valAx>
        <c:axId val="53329179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35751626"/>
        <c:crosses val="autoZero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095"/>
        </c:manualLayout>
      </c:layout>
      <c:scatterChart>
        <c:scatterStyle val="smoothMarker"/>
        <c:varyColors val="0"/>
        <c:ser>
          <c:idx val="0"/>
          <c:order val="0"/>
          <c:tx>
            <c:v>Uind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Simulatie!$AG$23:$AG$223</c:f>
              <c:numCache/>
            </c:numRef>
          </c:yVal>
          <c:smooth val="1"/>
        </c:ser>
        <c:axId val="10200564"/>
        <c:axId val="24696213"/>
      </c:scatterChart>
      <c:valAx>
        <c:axId val="102005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4696213"/>
        <c:crosses val="autoZero"/>
        <c:crossBetween val="midCat"/>
        <c:dispUnits/>
        <c:majorUnit val="0.2"/>
      </c:valAx>
      <c:valAx>
        <c:axId val="24696213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925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>
            <c:manualLayout>
              <c:xMode val="factor"/>
              <c:yMode val="factor"/>
              <c:x val="-0.011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0200564"/>
        <c:crosses val="autoZero"/>
        <c:crossBetween val="midCat"/>
        <c:dispUnits/>
        <c:majorUnit val="5"/>
        <c:min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5"/>
          <c:order val="0"/>
          <c:tx>
            <c:v>draad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Simulatie!$AJ$34:$AJ$35</c:f>
              <c:numCache/>
            </c:numRef>
          </c:xVal>
          <c:yVal>
            <c:numRef>
              <c:f>Simulatie!$AK$34:$AK$35</c:f>
              <c:numCache/>
            </c:numRef>
          </c:yVal>
          <c:smooth val="0"/>
        </c:ser>
        <c:ser>
          <c:idx val="4"/>
          <c:order val="1"/>
          <c:tx>
            <c:v>draad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Simulatie!$AJ$31:$AJ$32</c:f>
              <c:numCache/>
            </c:numRef>
          </c:xVal>
          <c:yVal>
            <c:numRef>
              <c:f>Simulatie!$AK$31:$AK$32</c:f>
              <c:numCache/>
            </c:numRef>
          </c:yVal>
          <c:smooth val="0"/>
        </c:ser>
        <c:ser>
          <c:idx val="0"/>
          <c:order val="2"/>
          <c:tx>
            <c:v>spoel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Simulatie!$AH$23:$AH$27</c:f>
              <c:numCache/>
            </c:numRef>
          </c:xVal>
          <c:yVal>
            <c:numRef>
              <c:f>Simulatie!$AI$23:$AI$27</c:f>
              <c:numCache/>
            </c:numRef>
          </c:yVal>
          <c:smooth val="0"/>
        </c:ser>
        <c:ser>
          <c:idx val="1"/>
          <c:order val="3"/>
          <c:tx>
            <c:v>gat in spoel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Simulatie!$AJ$23:$AJ$27</c:f>
              <c:numCache/>
            </c:numRef>
          </c:xVal>
          <c:yVal>
            <c:numRef>
              <c:f>Simulatie!$AK$23:$AK$27</c:f>
              <c:numCache/>
            </c:numRef>
          </c:yVal>
          <c:smooth val="0"/>
        </c:ser>
        <c:ser>
          <c:idx val="2"/>
          <c:order val="4"/>
          <c:tx>
            <c:v>magneetrzwart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Simulatie!$AL$23:$AL$27</c:f>
              <c:numCache/>
            </c:numRef>
          </c:xVal>
          <c:yVal>
            <c:numRef>
              <c:f>Simulatie!$AM$23:$AM$27</c:f>
              <c:numCache/>
            </c:numRef>
          </c:yVal>
          <c:smooth val="0"/>
        </c:ser>
        <c:ser>
          <c:idx val="3"/>
          <c:order val="5"/>
          <c:tx>
            <c:v>magneet rood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Simulatie!$AL$29:$AL$33</c:f>
              <c:numCache/>
            </c:numRef>
          </c:xVal>
          <c:yVal>
            <c:numRef>
              <c:f>Simulatie!$AM$29:$AM$33</c:f>
              <c:numCache/>
            </c:numRef>
          </c:yVal>
          <c:smooth val="0"/>
        </c:ser>
        <c:ser>
          <c:idx val="6"/>
          <c:order val="6"/>
          <c:tx>
            <c:v>startpunt streepje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Simulatie!$AR$23:$AR$24</c:f>
              <c:numCache/>
            </c:numRef>
          </c:xVal>
          <c:yVal>
            <c:numRef>
              <c:f>Simulatie!$AS$23:$AS$24</c:f>
              <c:numCache/>
            </c:numRef>
          </c:yVal>
          <c:smooth val="0"/>
        </c:ser>
        <c:ser>
          <c:idx val="7"/>
          <c:order val="7"/>
          <c:tx>
            <c:v>omgedraaide rode magneet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Simulatie!$AO$23:$AO$27</c:f>
              <c:numCache/>
            </c:numRef>
          </c:xVal>
          <c:yVal>
            <c:numRef>
              <c:f>Simulatie!$AP$23:$AP$27</c:f>
              <c:numCache/>
            </c:numRef>
          </c:yVal>
          <c:smooth val="0"/>
        </c:ser>
        <c:ser>
          <c:idx val="8"/>
          <c:order val="8"/>
          <c:tx>
            <c:v>omgedraaide zwarte magneet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Simulatie!$AO$29:$AO$33</c:f>
              <c:numCache/>
            </c:numRef>
          </c:xVal>
          <c:yVal>
            <c:numRef>
              <c:f>Simulatie!$AP$29:$AP$33</c:f>
              <c:numCache/>
            </c:numRef>
          </c:yVal>
          <c:smooth val="0"/>
        </c:ser>
        <c:axId val="20939326"/>
        <c:axId val="54236207"/>
      </c:scatterChart>
      <c:valAx>
        <c:axId val="20939326"/>
        <c:scaling>
          <c:orientation val="minMax"/>
          <c:max val="0.1"/>
          <c:min val="-0.2"/>
        </c:scaling>
        <c:axPos val="b"/>
        <c:delete val="1"/>
        <c:majorTickMark val="out"/>
        <c:minorTickMark val="none"/>
        <c:tickLblPos val="nextTo"/>
        <c:crossAx val="54236207"/>
        <c:crosses val="autoZero"/>
        <c:crossBetween val="midCat"/>
        <c:dispUnits/>
      </c:valAx>
      <c:valAx>
        <c:axId val="54236207"/>
        <c:scaling>
          <c:orientation val="minMax"/>
          <c:max val="1.11"/>
          <c:min val="-1.11"/>
        </c:scaling>
        <c:axPos val="l"/>
        <c:delete val="1"/>
        <c:majorTickMark val="out"/>
        <c:minorTickMark val="none"/>
        <c:tickLblPos val="nextTo"/>
        <c:crossAx val="2093932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5"/>
          <c:y val="0.05775"/>
          <c:w val="0.9105"/>
          <c:h val="0.819"/>
        </c:manualLayout>
      </c:layout>
      <c:scatterChart>
        <c:scatterStyle val="line"/>
        <c:varyColors val="0"/>
        <c:ser>
          <c:idx val="0"/>
          <c:order val="0"/>
          <c:tx>
            <c:v>flux-tijd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Theorie!$AC$38:$AC$47</c:f>
              <c:numCache/>
            </c:numRef>
          </c:yVal>
          <c:smooth val="0"/>
        </c:ser>
        <c:axId val="18363816"/>
        <c:axId val="31056617"/>
      </c:scatterChart>
      <c:valAx>
        <c:axId val="183638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crossBetween val="midCat"/>
        <c:dispUnits/>
      </c:val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  <a:r>
              <a:rPr lang="en-US" cap="none" sz="800" b="1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-tijd</a:t>
            </a:r>
          </a:p>
        </c:rich>
      </c:tx>
      <c:layout>
        <c:manualLayout>
          <c:xMode val="factor"/>
          <c:yMode val="factor"/>
          <c:x val="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4725"/>
          <c:w val="0.877"/>
          <c:h val="0.692"/>
        </c:manualLayout>
      </c:layout>
      <c:scatterChart>
        <c:scatterStyle val="line"/>
        <c:varyColors val="0"/>
        <c:ser>
          <c:idx val="0"/>
          <c:order val="0"/>
          <c:tx>
            <c:v>Uind-tijd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Theorie!$AD$38:$AD$47</c:f>
              <c:numCache/>
            </c:numRef>
          </c:yVal>
          <c:smooth val="0"/>
        </c:ser>
        <c:axId val="11074098"/>
        <c:axId val="32558019"/>
      </c:scatterChart>
      <c:valAx>
        <c:axId val="110740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crossBetween val="midCat"/>
        <c:dispUnits/>
        <c:majorUnit val="0.2"/>
      </c:valAx>
      <c:valAx>
        <c:axId val="3255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4</xdr:row>
      <xdr:rowOff>161925</xdr:rowOff>
    </xdr:from>
    <xdr:to>
      <xdr:col>12</xdr:col>
      <xdr:colOff>66675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00700" y="80962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4</xdr:col>
      <xdr:colOff>438150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0025" y="66675"/>
        <a:ext cx="2676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114300</xdr:rowOff>
    </xdr:from>
    <xdr:to>
      <xdr:col>4</xdr:col>
      <xdr:colOff>438150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200025" y="2609850"/>
        <a:ext cx="26765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9525</xdr:rowOff>
    </xdr:from>
    <xdr:to>
      <xdr:col>6</xdr:col>
      <xdr:colOff>523875</xdr:colOff>
      <xdr:row>32</xdr:row>
      <xdr:rowOff>66675</xdr:rowOff>
    </xdr:to>
    <xdr:graphicFrame>
      <xdr:nvGraphicFramePr>
        <xdr:cNvPr id="3" name="Chart 3"/>
        <xdr:cNvGraphicFramePr/>
      </xdr:nvGraphicFramePr>
      <xdr:xfrm>
        <a:off x="3048000" y="76200"/>
        <a:ext cx="1133475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28575</xdr:rowOff>
    </xdr:from>
    <xdr:to>
      <xdr:col>12</xdr:col>
      <xdr:colOff>180975</xdr:colOff>
      <xdr:row>15</xdr:row>
      <xdr:rowOff>57150</xdr:rowOff>
    </xdr:to>
    <xdr:grpSp>
      <xdr:nvGrpSpPr>
        <xdr:cNvPr id="1" name="Group 24"/>
        <xdr:cNvGrpSpPr>
          <a:grpSpLocks/>
        </xdr:cNvGrpSpPr>
      </xdr:nvGrpSpPr>
      <xdr:grpSpPr>
        <a:xfrm>
          <a:off x="4324350" y="800100"/>
          <a:ext cx="2905125" cy="2228850"/>
          <a:chOff x="454" y="66"/>
          <a:chExt cx="304" cy="238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54" y="66"/>
            <a:ext cx="304" cy="238"/>
            <a:chOff x="285" y="200"/>
            <a:chExt cx="304" cy="234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426" y="234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1"/>
            <xdr:cNvGrpSpPr>
              <a:grpSpLocks/>
            </xdr:cNvGrpSpPr>
          </xdr:nvGrpSpPr>
          <xdr:grpSpPr>
            <a:xfrm>
              <a:off x="285" y="200"/>
              <a:ext cx="304" cy="234"/>
              <a:chOff x="285" y="200"/>
              <a:chExt cx="304" cy="234"/>
            </a:xfrm>
            <a:solidFill>
              <a:srgbClr val="FFFFFF"/>
            </a:solidFill>
          </xdr:grpSpPr>
          <xdr:sp>
            <xdr:nvSpPr>
              <xdr:cNvPr id="5" name="Line 9"/>
              <xdr:cNvSpPr>
                <a:spLocks/>
              </xdr:cNvSpPr>
            </xdr:nvSpPr>
            <xdr:spPr>
              <a:xfrm flipH="1">
                <a:off x="426" y="284"/>
                <a:ext cx="64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20"/>
              <xdr:cNvGrpSpPr>
                <a:grpSpLocks/>
              </xdr:cNvGrpSpPr>
            </xdr:nvGrpSpPr>
            <xdr:grpSpPr>
              <a:xfrm>
                <a:off x="285" y="200"/>
                <a:ext cx="304" cy="234"/>
                <a:chOff x="285" y="200"/>
                <a:chExt cx="304" cy="234"/>
              </a:xfrm>
              <a:solidFill>
                <a:srgbClr val="FFFFFF"/>
              </a:solidFill>
            </xdr:grpSpPr>
            <xdr:grpSp>
              <xdr:nvGrpSpPr>
                <xdr:cNvPr id="7" name="Group 16"/>
                <xdr:cNvGrpSpPr>
                  <a:grpSpLocks/>
                </xdr:cNvGrpSpPr>
              </xdr:nvGrpSpPr>
              <xdr:grpSpPr>
                <a:xfrm>
                  <a:off x="376" y="200"/>
                  <a:ext cx="181" cy="234"/>
                  <a:chOff x="376" y="200"/>
                  <a:chExt cx="181" cy="234"/>
                </a:xfrm>
                <a:solidFill>
                  <a:srgbClr val="FFFFFF"/>
                </a:solidFill>
              </xdr:grpSpPr>
              <xdr:grpSp>
                <xdr:nvGrpSpPr>
                  <xdr:cNvPr id="8" name="Group 8"/>
                  <xdr:cNvGrpSpPr>
                    <a:grpSpLocks/>
                  </xdr:cNvGrpSpPr>
                </xdr:nvGrpSpPr>
                <xdr:grpSpPr>
                  <a:xfrm>
                    <a:off x="376" y="200"/>
                    <a:ext cx="181" cy="234"/>
                    <a:chOff x="376" y="200"/>
                    <a:chExt cx="181" cy="234"/>
                  </a:xfrm>
                  <a:solidFill>
                    <a:srgbClr val="FFFFFF"/>
                  </a:solidFill>
                </xdr:grpSpPr>
                <xdr:sp>
                  <xdr:nvSpPr>
                    <xdr:cNvPr id="9" name="AutoShape 4"/>
                    <xdr:cNvSpPr>
                      <a:spLocks/>
                    </xdr:cNvSpPr>
                  </xdr:nvSpPr>
                  <xdr:spPr>
                    <a:xfrm>
                      <a:off x="426" y="200"/>
                      <a:ext cx="131" cy="166"/>
                    </a:xfrm>
                    <a:custGeom>
                      <a:pathLst>
                        <a:path h="166" w="131">
                          <a:moveTo>
                            <a:pt x="0" y="166"/>
                          </a:moveTo>
                          <a:lnTo>
                            <a:pt x="131" y="0"/>
                          </a:lnTo>
                        </a:path>
                      </a:pathLst>
                    </a:cu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ne 5"/>
                    <xdr:cNvSpPr>
                      <a:spLocks/>
                    </xdr:cNvSpPr>
                  </xdr:nvSpPr>
                  <xdr:spPr>
                    <a:xfrm flipH="1">
                      <a:off x="416" y="367"/>
                      <a:ext cx="10" cy="1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Line 6"/>
                    <xdr:cNvSpPr>
                      <a:spLocks/>
                    </xdr:cNvSpPr>
                  </xdr:nvSpPr>
                  <xdr:spPr>
                    <a:xfrm flipH="1">
                      <a:off x="376" y="381"/>
                      <a:ext cx="40" cy="5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" name="AutoShape 15"/>
                  <xdr:cNvSpPr>
                    <a:spLocks/>
                  </xdr:cNvSpPr>
                </xdr:nvSpPr>
                <xdr:spPr>
                  <a:xfrm>
                    <a:off x="528" y="230"/>
                    <a:ext cx="6" cy="7"/>
                  </a:xfrm>
                  <a:custGeom>
                    <a:pathLst>
                      <a:path h="7" w="6">
                        <a:moveTo>
                          <a:pt x="0" y="7"/>
                        </a:moveTo>
                        <a:lnTo>
                          <a:pt x="6" y="0"/>
                        </a:lnTo>
                      </a:path>
                    </a:pathLst>
                  </a:custGeom>
                  <a:noFill/>
                  <a:ln w="19050" cmpd="sng">
                    <a:solidFill>
                      <a:srgbClr val="3366FF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" name="AutoShape 1"/>
                <xdr:cNvSpPr>
                  <a:spLocks/>
                </xdr:cNvSpPr>
              </xdr:nvSpPr>
              <xdr:spPr>
                <a:xfrm>
                  <a:off x="285" y="347"/>
                  <a:ext cx="304" cy="32"/>
                </a:xfrm>
                <a:prstGeom prst="parallelogram">
                  <a:avLst/>
                </a:prstGeom>
                <a:solidFill>
                  <a:srgbClr val="C0C0C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"/>
                <xdr:cNvSpPr>
                  <a:spLocks/>
                </xdr:cNvSpPr>
              </xdr:nvSpPr>
              <xdr:spPr>
                <a:xfrm flipV="1">
                  <a:off x="426" y="281"/>
                  <a:ext cx="66" cy="87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"/>
                <xdr:cNvSpPr>
                  <a:spLocks/>
                </xdr:cNvSpPr>
              </xdr:nvSpPr>
              <xdr:spPr>
                <a:xfrm flipV="1">
                  <a:off x="426" y="283"/>
                  <a:ext cx="0" cy="85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13"/>
                <xdr:cNvSpPr>
                  <a:spLocks/>
                </xdr:cNvSpPr>
              </xdr:nvSpPr>
              <xdr:spPr>
                <a:xfrm>
                  <a:off x="426" y="368"/>
                  <a:ext cx="66" cy="0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TextBox 17"/>
                <xdr:cNvSpPr txBox="1">
                  <a:spLocks noChangeArrowheads="1"/>
                </xdr:cNvSpPr>
              </xdr:nvSpPr>
              <xdr:spPr>
                <a:xfrm>
                  <a:off x="494" y="278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</a:rPr>
                    <a:t>B</a:t>
                  </a:r>
                </a:p>
              </xdr:txBody>
            </xdr:sp>
            <xdr:sp>
              <xdr:nvSpPr>
                <xdr:cNvPr id="18" name="TextBox 18"/>
                <xdr:cNvSpPr txBox="1">
                  <a:spLocks noChangeArrowheads="1"/>
                </xdr:cNvSpPr>
              </xdr:nvSpPr>
              <xdr:spPr>
                <a:xfrm>
                  <a:off x="395" y="275"/>
                  <a:ext cx="45" cy="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B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n</a:t>
                  </a:r>
                </a:p>
              </xdr:txBody>
            </xdr:sp>
            <xdr:sp>
              <xdr:nvSpPr>
                <xdr:cNvPr id="19" name="TextBox 19"/>
                <xdr:cNvSpPr txBox="1">
                  <a:spLocks noChangeArrowheads="1"/>
                </xdr:cNvSpPr>
              </xdr:nvSpPr>
              <xdr:spPr>
                <a:xfrm>
                  <a:off x="351" y="353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A</a:t>
                  </a:r>
                </a:p>
              </xdr:txBody>
            </xdr:sp>
          </xdr:grpSp>
          <xdr:sp>
            <xdr:nvSpPr>
              <xdr:cNvPr id="20" name="AutoShape 12"/>
              <xdr:cNvSpPr>
                <a:spLocks/>
              </xdr:cNvSpPr>
            </xdr:nvSpPr>
            <xdr:spPr>
              <a:xfrm>
                <a:off x="492" y="284"/>
                <a:ext cx="1" cy="84"/>
              </a:xfrm>
              <a:custGeom>
                <a:pathLst>
                  <a:path h="84" w="1">
                    <a:moveTo>
                      <a:pt x="0" y="0"/>
                    </a:moveTo>
                    <a:lnTo>
                      <a:pt x="0" y="84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1" name="TextBox 23"/>
          <xdr:cNvSpPr txBox="1">
            <a:spLocks noChangeArrowheads="1"/>
          </xdr:cNvSpPr>
        </xdr:nvSpPr>
        <xdr:spPr>
          <a:xfrm>
            <a:off x="597" y="189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</a:t>
            </a:r>
          </a:p>
        </xdr:txBody>
      </xdr:sp>
    </xdr:grpSp>
    <xdr:clientData/>
  </xdr:twoCellAnchor>
  <xdr:twoCellAnchor>
    <xdr:from>
      <xdr:col>7</xdr:col>
      <xdr:colOff>333375</xdr:colOff>
      <xdr:row>38</xdr:row>
      <xdr:rowOff>180975</xdr:rowOff>
    </xdr:from>
    <xdr:to>
      <xdr:col>12</xdr:col>
      <xdr:colOff>104775</xdr:colOff>
      <xdr:row>43</xdr:row>
      <xdr:rowOff>38100</xdr:rowOff>
    </xdr:to>
    <xdr:grpSp>
      <xdr:nvGrpSpPr>
        <xdr:cNvPr id="22" name="Group 43"/>
        <xdr:cNvGrpSpPr>
          <a:grpSpLocks/>
        </xdr:cNvGrpSpPr>
      </xdr:nvGrpSpPr>
      <xdr:grpSpPr>
        <a:xfrm>
          <a:off x="4324350" y="7943850"/>
          <a:ext cx="2828925" cy="857250"/>
          <a:chOff x="393" y="810"/>
          <a:chExt cx="296" cy="88"/>
        </a:xfrm>
        <a:solidFill>
          <a:srgbClr val="FFFFFF"/>
        </a:solidFill>
      </xdr:grpSpPr>
      <xdr:grpSp>
        <xdr:nvGrpSpPr>
          <xdr:cNvPr id="23" name="Group 40"/>
          <xdr:cNvGrpSpPr>
            <a:grpSpLocks/>
          </xdr:cNvGrpSpPr>
        </xdr:nvGrpSpPr>
        <xdr:grpSpPr>
          <a:xfrm>
            <a:off x="393" y="810"/>
            <a:ext cx="296" cy="56"/>
            <a:chOff x="253" y="701"/>
            <a:chExt cx="296" cy="56"/>
          </a:xfrm>
          <a:solidFill>
            <a:srgbClr val="FFFFFF"/>
          </a:solidFill>
        </xdr:grpSpPr>
        <xdr:grpSp>
          <xdr:nvGrpSpPr>
            <xdr:cNvPr id="24" name="Group 34"/>
            <xdr:cNvGrpSpPr>
              <a:grpSpLocks/>
            </xdr:cNvGrpSpPr>
          </xdr:nvGrpSpPr>
          <xdr:grpSpPr>
            <a:xfrm>
              <a:off x="270" y="711"/>
              <a:ext cx="56" cy="16"/>
              <a:chOff x="502" y="711"/>
              <a:chExt cx="80" cy="16"/>
            </a:xfrm>
            <a:solidFill>
              <a:srgbClr val="FFFFFF"/>
            </a:solidFill>
          </xdr:grpSpPr>
          <xdr:sp>
            <xdr:nvSpPr>
              <xdr:cNvPr id="25" name="Rectangle 31"/>
              <xdr:cNvSpPr>
                <a:spLocks/>
              </xdr:cNvSpPr>
            </xdr:nvSpPr>
            <xdr:spPr>
              <a:xfrm>
                <a:off x="502" y="711"/>
                <a:ext cx="40" cy="1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32"/>
              <xdr:cNvSpPr>
                <a:spLocks/>
              </xdr:cNvSpPr>
            </xdr:nvSpPr>
            <xdr:spPr>
              <a:xfrm>
                <a:off x="542" y="711"/>
                <a:ext cx="40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" name="Line 35"/>
            <xdr:cNvSpPr>
              <a:spLocks/>
            </xdr:cNvSpPr>
          </xdr:nvSpPr>
          <xdr:spPr>
            <a:xfrm>
              <a:off x="253" y="719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8" name="Group 38"/>
            <xdr:cNvGrpSpPr>
              <a:grpSpLocks/>
            </xdr:cNvGrpSpPr>
          </xdr:nvGrpSpPr>
          <xdr:grpSpPr>
            <a:xfrm>
              <a:off x="365" y="701"/>
              <a:ext cx="87" cy="56"/>
              <a:chOff x="365" y="702"/>
              <a:chExt cx="87" cy="56"/>
            </a:xfrm>
            <a:solidFill>
              <a:srgbClr val="FFFFFF"/>
            </a:solidFill>
          </xdr:grpSpPr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365" y="702"/>
                <a:ext cx="87" cy="37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6"/>
              <xdr:cNvSpPr>
                <a:spLocks/>
              </xdr:cNvSpPr>
            </xdr:nvSpPr>
            <xdr:spPr>
              <a:xfrm>
                <a:off x="367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7"/>
              <xdr:cNvSpPr>
                <a:spLocks/>
              </xdr:cNvSpPr>
            </xdr:nvSpPr>
            <xdr:spPr>
              <a:xfrm>
                <a:off x="450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2" name="Line 39"/>
            <xdr:cNvSpPr>
              <a:spLocks/>
            </xdr:cNvSpPr>
          </xdr:nvSpPr>
          <xdr:spPr>
            <a:xfrm>
              <a:off x="266" y="733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TextBox 41"/>
          <xdr:cNvSpPr txBox="1">
            <a:spLocks noChangeArrowheads="1"/>
          </xdr:cNvSpPr>
        </xdr:nvSpPr>
        <xdr:spPr>
          <a:xfrm>
            <a:off x="395" y="867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1</a:t>
            </a:r>
          </a:p>
        </xdr:txBody>
      </xdr:sp>
    </xdr:grpSp>
    <xdr:clientData/>
  </xdr:twoCellAnchor>
  <xdr:twoCellAnchor>
    <xdr:from>
      <xdr:col>7</xdr:col>
      <xdr:colOff>352425</xdr:colOff>
      <xdr:row>43</xdr:row>
      <xdr:rowOff>180975</xdr:rowOff>
    </xdr:from>
    <xdr:to>
      <xdr:col>11</xdr:col>
      <xdr:colOff>504825</xdr:colOff>
      <xdr:row>58</xdr:row>
      <xdr:rowOff>0</xdr:rowOff>
    </xdr:to>
    <xdr:grpSp>
      <xdr:nvGrpSpPr>
        <xdr:cNvPr id="34" name="Group 46"/>
        <xdr:cNvGrpSpPr>
          <a:grpSpLocks/>
        </xdr:cNvGrpSpPr>
      </xdr:nvGrpSpPr>
      <xdr:grpSpPr>
        <a:xfrm>
          <a:off x="4343400" y="8943975"/>
          <a:ext cx="2600325" cy="2933700"/>
          <a:chOff x="456" y="885"/>
          <a:chExt cx="272" cy="328"/>
        </a:xfrm>
        <a:solidFill>
          <a:srgbClr val="FFFFFF"/>
        </a:solidFill>
      </xdr:grpSpPr>
      <xdr:graphicFrame>
        <xdr:nvGraphicFramePr>
          <xdr:cNvPr id="35" name="Chart 26"/>
          <xdr:cNvGraphicFramePr/>
        </xdr:nvGraphicFramePr>
        <xdr:xfrm>
          <a:off x="456" y="885"/>
          <a:ext cx="272" cy="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6" name="Chart 27"/>
          <xdr:cNvGraphicFramePr/>
        </xdr:nvGraphicFramePr>
        <xdr:xfrm>
          <a:off x="456" y="1048"/>
          <a:ext cx="272" cy="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37" name="TextBox 42"/>
          <xdr:cNvSpPr txBox="1">
            <a:spLocks noChangeArrowheads="1"/>
          </xdr:cNvSpPr>
        </xdr:nvSpPr>
        <xdr:spPr>
          <a:xfrm>
            <a:off x="456" y="1184"/>
            <a:ext cx="5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5:K20"/>
  <sheetViews>
    <sheetView showGridLines="0" showRowColHeaders="0" tabSelected="1" showOutlineSymbols="0" zoomScale="125" zoomScaleNormal="125" workbookViewId="0" topLeftCell="A1">
      <pane xSplit="19" topLeftCell="T1" activePane="topRight" state="frozen"/>
      <selection pane="topLeft" activeCell="A1" sqref="A1"/>
      <selection pane="topRight" activeCell="BA1" sqref="BA1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5" spans="2:11" ht="42">
      <c r="B5" s="62" t="s">
        <v>89</v>
      </c>
      <c r="K5" s="63" t="s">
        <v>109</v>
      </c>
    </row>
    <row r="6" ht="12.75"/>
    <row r="7" ht="12.75"/>
    <row r="8" ht="18">
      <c r="B8" s="32" t="s">
        <v>106</v>
      </c>
    </row>
    <row r="9" spans="2:4" ht="18.75" thickBot="1">
      <c r="B9" s="33" t="s">
        <v>90</v>
      </c>
      <c r="C9" s="122" t="s">
        <v>107</v>
      </c>
      <c r="D9" s="123"/>
    </row>
    <row r="10" ht="18">
      <c r="B10" s="32"/>
    </row>
    <row r="11" spans="2:4" ht="18.75" thickBot="1">
      <c r="B11" s="33" t="s">
        <v>91</v>
      </c>
      <c r="C11" s="122" t="s">
        <v>97</v>
      </c>
      <c r="D11" s="123"/>
    </row>
    <row r="12" spans="2:3" ht="18">
      <c r="B12" s="33"/>
      <c r="C12" s="33" t="s">
        <v>92</v>
      </c>
    </row>
    <row r="13" spans="2:3" ht="18">
      <c r="B13" s="32"/>
      <c r="C13" s="32" t="s">
        <v>98</v>
      </c>
    </row>
    <row r="14" spans="2:3" ht="18">
      <c r="B14" s="32"/>
      <c r="C14" s="32" t="s">
        <v>93</v>
      </c>
    </row>
    <row r="15" spans="2:3" ht="18">
      <c r="B15" s="32"/>
      <c r="C15" s="32" t="s">
        <v>94</v>
      </c>
    </row>
    <row r="16" spans="2:3" ht="18">
      <c r="B16" s="32"/>
      <c r="C16" s="32" t="s">
        <v>95</v>
      </c>
    </row>
    <row r="17" spans="2:4" ht="18.75" thickBot="1">
      <c r="B17" s="33" t="s">
        <v>108</v>
      </c>
      <c r="C17" s="122" t="s">
        <v>96</v>
      </c>
      <c r="D17" s="123"/>
    </row>
    <row r="19" ht="12.75">
      <c r="B19" s="117" t="s">
        <v>131</v>
      </c>
    </row>
    <row r="20" ht="12.75">
      <c r="B20" s="117" t="s">
        <v>132</v>
      </c>
    </row>
  </sheetData>
  <sheetProtection password="DE47" sheet="1" objects="1" scenarios="1" selectLockedCells="1"/>
  <mergeCells count="3">
    <mergeCell ref="C11:D11"/>
    <mergeCell ref="C17:D17"/>
    <mergeCell ref="C9:D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H1:BL1323"/>
  <sheetViews>
    <sheetView showGridLines="0" showRowColHeaders="0" showOutlineSymbols="0" zoomScale="130" zoomScaleNormal="130" workbookViewId="0" topLeftCell="A1">
      <pane xSplit="21" topLeftCell="AY1" activePane="topRight" state="frozen"/>
      <selection pane="topLeft" activeCell="A7" sqref="A7"/>
      <selection pane="topRight" activeCell="AY6" sqref="AY6"/>
    </sheetView>
  </sheetViews>
  <sheetFormatPr defaultColWidth="9.140625" defaultRowHeight="12.75"/>
  <cols>
    <col min="1" max="7" width="9.140625" style="1" customWidth="1"/>
    <col min="8" max="8" width="20.57421875" style="1" customWidth="1"/>
    <col min="9" max="9" width="5.140625" style="1" customWidth="1"/>
    <col min="10" max="10" width="9.28125" style="1" customWidth="1"/>
    <col min="11" max="11" width="6.421875" style="1" customWidth="1"/>
    <col min="12" max="25" width="9.140625" style="1" customWidth="1"/>
    <col min="26" max="26" width="9.7109375" style="1" bestFit="1" customWidth="1"/>
    <col min="27" max="27" width="4.28125" style="1" customWidth="1"/>
    <col min="28" max="28" width="20.140625" style="1" customWidth="1"/>
    <col min="29" max="29" width="11.421875" style="1" bestFit="1" customWidth="1"/>
    <col min="30" max="30" width="15.8515625" style="1" customWidth="1"/>
    <col min="31" max="31" width="9.57421875" style="1" bestFit="1" customWidth="1"/>
    <col min="32" max="32" width="15.7109375" style="1" bestFit="1" customWidth="1"/>
    <col min="33" max="33" width="11.140625" style="1" bestFit="1" customWidth="1"/>
    <col min="34" max="37" width="9.57421875" style="1" bestFit="1" customWidth="1"/>
    <col min="38" max="38" width="9.8515625" style="1" bestFit="1" customWidth="1"/>
    <col min="39" max="39" width="9.57421875" style="1" bestFit="1" customWidth="1"/>
    <col min="40" max="40" width="9.140625" style="1" customWidth="1"/>
    <col min="41" max="41" width="10.8515625" style="1" customWidth="1"/>
    <col min="42" max="42" width="12.7109375" style="1" bestFit="1" customWidth="1"/>
    <col min="43" max="43" width="9.140625" style="1" customWidth="1"/>
    <col min="44" max="47" width="9.57421875" style="1" bestFit="1" customWidth="1"/>
    <col min="48" max="48" width="10.57421875" style="1" bestFit="1" customWidth="1"/>
    <col min="49" max="49" width="19.28125" style="1" bestFit="1" customWidth="1"/>
    <col min="50" max="50" width="9.421875" style="1" bestFit="1" customWidth="1"/>
    <col min="51" max="51" width="17.8515625" style="1" bestFit="1" customWidth="1"/>
    <col min="52" max="52" width="11.28125" style="1" bestFit="1" customWidth="1"/>
    <col min="53" max="53" width="12.7109375" style="1" bestFit="1" customWidth="1"/>
    <col min="54" max="16384" width="9.140625" style="1" customWidth="1"/>
  </cols>
  <sheetData>
    <row r="1" ht="5.25" customHeight="1">
      <c r="J1" s="2"/>
    </row>
    <row r="2" spans="8:63" ht="12.75" customHeight="1">
      <c r="H2" s="115" t="s">
        <v>130</v>
      </c>
      <c r="J2" s="2"/>
      <c r="W2" s="35"/>
      <c r="X2" s="35"/>
      <c r="Y2" s="35"/>
      <c r="Z2" s="35"/>
      <c r="AA2" s="35"/>
      <c r="AB2" s="35"/>
      <c r="AC2" s="36" t="s">
        <v>0</v>
      </c>
      <c r="AD2" s="35"/>
      <c r="AE2" s="35"/>
      <c r="AF2" s="35"/>
      <c r="AG2" s="35"/>
      <c r="AH2" s="35">
        <f>AM18</f>
        <v>0</v>
      </c>
      <c r="AI2" s="35"/>
      <c r="AJ2" s="35"/>
      <c r="AK2" s="35"/>
      <c r="AL2" s="35"/>
      <c r="AM2" s="35"/>
      <c r="AN2" s="35"/>
      <c r="AO2" s="35"/>
      <c r="AP2" s="35"/>
      <c r="AQ2" s="35"/>
      <c r="AR2" s="35">
        <v>-0.0125</v>
      </c>
      <c r="AS2" s="35">
        <v>0.9</v>
      </c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8:63" ht="12.75" customHeight="1">
      <c r="H3" s="116" t="s">
        <v>43</v>
      </c>
      <c r="J3" s="2"/>
      <c r="W3" s="35"/>
      <c r="X3" s="35"/>
      <c r="Y3" s="35"/>
      <c r="Z3" s="35"/>
      <c r="AA3" s="35"/>
      <c r="AB3" s="35"/>
      <c r="AC3" s="3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>
        <v>0.0125</v>
      </c>
      <c r="AS3" s="35">
        <v>0.9</v>
      </c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0:63" ht="12.75" customHeight="1">
      <c r="J4" s="2"/>
      <c r="W4" s="35"/>
      <c r="X4" s="35"/>
      <c r="Y4" s="35"/>
      <c r="Z4" s="35"/>
      <c r="AA4" s="35"/>
      <c r="AB4" s="35" t="s">
        <v>6</v>
      </c>
      <c r="AC4" s="37">
        <v>0.2</v>
      </c>
      <c r="AD4" s="37" t="s">
        <v>5</v>
      </c>
      <c r="AE4" s="35"/>
      <c r="AF4" s="35"/>
      <c r="AG4" s="1">
        <v>1</v>
      </c>
      <c r="AH4" s="35"/>
      <c r="AI4" s="35"/>
      <c r="AJ4" s="35" t="s">
        <v>127</v>
      </c>
      <c r="AK4" s="49">
        <f>BA12</f>
        <v>0</v>
      </c>
      <c r="AL4" s="35"/>
      <c r="AM4" s="35"/>
      <c r="AN4" s="35"/>
      <c r="AO4" s="35"/>
      <c r="AP4" s="35"/>
      <c r="AQ4" s="35"/>
      <c r="AR4" s="35">
        <v>0.0125</v>
      </c>
      <c r="AS4" s="35">
        <v>1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8:63" ht="12.75" customHeight="1">
      <c r="H5" s="4" t="s">
        <v>145</v>
      </c>
      <c r="J5" s="2"/>
      <c r="W5" s="35"/>
      <c r="X5" s="35"/>
      <c r="Y5" s="35"/>
      <c r="Z5" s="35"/>
      <c r="AA5" s="35"/>
      <c r="AB5" s="35" t="s">
        <v>24</v>
      </c>
      <c r="AC5" s="37">
        <v>12</v>
      </c>
      <c r="AD5" s="37" t="s">
        <v>23</v>
      </c>
      <c r="AE5" s="35"/>
      <c r="AF5" s="35"/>
      <c r="AG5" s="1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>
        <v>-0.0125</v>
      </c>
      <c r="AS5" s="35">
        <v>1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8:63" ht="12.75" customHeight="1">
      <c r="H6" s="4" t="s">
        <v>134</v>
      </c>
      <c r="J6" s="2"/>
      <c r="W6" s="35"/>
      <c r="X6" s="35"/>
      <c r="Y6" s="35"/>
      <c r="Z6" s="35"/>
      <c r="AA6" s="35"/>
      <c r="AB6" s="35" t="s">
        <v>22</v>
      </c>
      <c r="AC6" s="37">
        <f>AE6/100</f>
        <v>5.6</v>
      </c>
      <c r="AD6" s="37" t="s">
        <v>23</v>
      </c>
      <c r="AE6" s="58">
        <v>560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>
        <v>-0.0125</v>
      </c>
      <c r="AS6" s="35">
        <v>0.9</v>
      </c>
      <c r="AT6" s="35"/>
      <c r="AU6" s="91"/>
      <c r="AV6" s="91"/>
      <c r="AW6" s="108"/>
      <c r="AX6" s="109" t="s">
        <v>119</v>
      </c>
      <c r="AY6" s="119">
        <v>1</v>
      </c>
      <c r="AZ6" s="91"/>
      <c r="BA6" s="91"/>
      <c r="BB6" s="91"/>
      <c r="BC6" s="91"/>
      <c r="BD6" s="92"/>
      <c r="BE6" s="91"/>
      <c r="BF6" s="91"/>
      <c r="BG6" s="91"/>
      <c r="BH6" s="91"/>
      <c r="BI6" s="91"/>
      <c r="BJ6" s="91"/>
      <c r="BK6" s="35"/>
    </row>
    <row r="7" spans="9:62" ht="12.75" customHeight="1">
      <c r="I7" s="61"/>
      <c r="J7" s="61"/>
      <c r="W7" s="35"/>
      <c r="X7" s="35"/>
      <c r="Y7" s="35"/>
      <c r="Z7" s="35"/>
      <c r="AA7" s="35"/>
      <c r="AB7" s="35" t="s">
        <v>13</v>
      </c>
      <c r="AC7" s="37">
        <f>(AC6*0.01)^2</f>
        <v>0.0031359999999999995</v>
      </c>
      <c r="AD7" s="37" t="s">
        <v>14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 t="s">
        <v>27</v>
      </c>
      <c r="AS7" s="35">
        <v>0</v>
      </c>
      <c r="AT7" s="35"/>
      <c r="AU7" s="93" t="s">
        <v>120</v>
      </c>
      <c r="AV7" s="94">
        <f>-0.1+AP4</f>
        <v>-0.1</v>
      </c>
      <c r="AW7" s="88"/>
      <c r="AX7" s="110" t="s">
        <v>121</v>
      </c>
      <c r="AY7" s="120">
        <v>0</v>
      </c>
      <c r="AZ7" s="91"/>
      <c r="BA7" s="91"/>
      <c r="BB7" s="66"/>
      <c r="BC7" s="66"/>
      <c r="BD7" s="95"/>
      <c r="BE7" s="66"/>
      <c r="BF7" s="66"/>
      <c r="BG7" s="66"/>
      <c r="BH7" s="91"/>
      <c r="BI7" s="91"/>
      <c r="BJ7" s="91"/>
    </row>
    <row r="8" spans="8:64" ht="12.75" customHeight="1">
      <c r="H8" s="4" t="s">
        <v>133</v>
      </c>
      <c r="I8" s="61"/>
      <c r="J8" s="61"/>
      <c r="W8" s="35"/>
      <c r="X8" s="35"/>
      <c r="Y8" s="35"/>
      <c r="Z8" s="35"/>
      <c r="AA8" s="35"/>
      <c r="AB8" s="35" t="s">
        <v>16</v>
      </c>
      <c r="AC8" s="37">
        <f>AD8*100+100</f>
        <v>500</v>
      </c>
      <c r="AD8" s="59">
        <v>4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>
        <v>-0.0125</v>
      </c>
      <c r="AS8" s="35">
        <v>1</v>
      </c>
      <c r="AT8" s="35"/>
      <c r="AU8" s="93" t="s">
        <v>122</v>
      </c>
      <c r="AV8" s="96">
        <f>IF(AV3=0,10,SQRT(2*AV7/AV3))</f>
        <v>10</v>
      </c>
      <c r="AW8" s="91"/>
      <c r="AX8" s="91"/>
      <c r="AY8" s="91"/>
      <c r="AZ8" s="97"/>
      <c r="BA8" s="91"/>
      <c r="BB8" s="66"/>
      <c r="BC8" s="66"/>
      <c r="BD8" s="66"/>
      <c r="BE8" s="66"/>
      <c r="BF8" s="66"/>
      <c r="BG8" s="66"/>
      <c r="BH8" s="91"/>
      <c r="BI8" s="91"/>
      <c r="BJ8" s="91"/>
      <c r="BK8" s="74"/>
      <c r="BL8" s="74"/>
    </row>
    <row r="9" spans="8:64" ht="12.75" customHeight="1">
      <c r="H9" s="4" t="s">
        <v>135</v>
      </c>
      <c r="I9" s="60"/>
      <c r="J9" s="60"/>
      <c r="W9" s="35"/>
      <c r="X9" s="35"/>
      <c r="Y9" s="35"/>
      <c r="Z9" s="35"/>
      <c r="AA9" s="35"/>
      <c r="AB9" s="35" t="s">
        <v>7</v>
      </c>
      <c r="AC9" s="37">
        <v>0.2</v>
      </c>
      <c r="AD9" s="37" t="s">
        <v>5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>
        <v>0.0125</v>
      </c>
      <c r="AS9" s="35">
        <v>1</v>
      </c>
      <c r="AT9" s="35"/>
      <c r="AU9" s="98" t="s">
        <v>123</v>
      </c>
      <c r="AV9" s="99">
        <v>50</v>
      </c>
      <c r="AW9" s="98" t="s">
        <v>124</v>
      </c>
      <c r="AX9" s="100">
        <f>0.0005*10</f>
        <v>0.005</v>
      </c>
      <c r="AY9" s="98" t="s">
        <v>125</v>
      </c>
      <c r="AZ9" s="101">
        <f>AV9*AX9+AY3</f>
        <v>0.25</v>
      </c>
      <c r="BA9" s="100"/>
      <c r="BB9" s="102"/>
      <c r="BC9" s="66"/>
      <c r="BD9" s="66"/>
      <c r="BE9" s="103"/>
      <c r="BF9" s="104"/>
      <c r="BG9" s="66"/>
      <c r="BH9" s="91"/>
      <c r="BI9" s="91"/>
      <c r="BJ9" s="91"/>
      <c r="BK9" s="74"/>
      <c r="BL9" s="74"/>
    </row>
    <row r="10" spans="8:64" ht="12.75" customHeight="1">
      <c r="H10" s="4"/>
      <c r="I10" s="60"/>
      <c r="J10" s="60"/>
      <c r="W10" s="35"/>
      <c r="X10" s="35"/>
      <c r="Y10" s="35"/>
      <c r="Z10" s="35"/>
      <c r="AA10" s="35"/>
      <c r="AB10" s="35" t="s">
        <v>25</v>
      </c>
      <c r="AC10" s="37">
        <v>5</v>
      </c>
      <c r="AD10" s="37" t="s">
        <v>23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>
        <v>0.0125</v>
      </c>
      <c r="AS10" s="35">
        <v>1.1</v>
      </c>
      <c r="AT10" s="35"/>
      <c r="AU10" s="66" t="s">
        <v>110</v>
      </c>
      <c r="AV10" s="67"/>
      <c r="AW10" s="66"/>
      <c r="AX10" s="68" t="s">
        <v>111</v>
      </c>
      <c r="AY10" s="69">
        <v>100</v>
      </c>
      <c r="AZ10" s="70" t="s">
        <v>112</v>
      </c>
      <c r="BA10" s="69">
        <f>AY10*0.01</f>
        <v>1</v>
      </c>
      <c r="BB10" s="71"/>
      <c r="BC10" s="72"/>
      <c r="BD10" s="73"/>
      <c r="BE10" s="103"/>
      <c r="BF10" s="105"/>
      <c r="BG10" s="66"/>
      <c r="BH10" s="91"/>
      <c r="BI10" s="91"/>
      <c r="BJ10" s="91"/>
      <c r="BK10" s="74"/>
      <c r="BL10" s="74"/>
    </row>
    <row r="11" spans="8:64" ht="12.75" customHeight="1">
      <c r="H11" s="118" t="s">
        <v>137</v>
      </c>
      <c r="W11" s="35"/>
      <c r="X11" s="35"/>
      <c r="Y11" s="35"/>
      <c r="Z11" s="35"/>
      <c r="AA11" s="35"/>
      <c r="AB11" s="35" t="s">
        <v>8</v>
      </c>
      <c r="AC11" s="37">
        <f>AD11/20</f>
        <v>0.3</v>
      </c>
      <c r="AD11" s="59">
        <v>6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>
        <v>-0.0125</v>
      </c>
      <c r="AS11" s="35">
        <v>1.1</v>
      </c>
      <c r="AT11" s="35"/>
      <c r="AU11" s="75" t="s">
        <v>113</v>
      </c>
      <c r="AV11" s="76">
        <f ca="1">NOW()</f>
        <v>39270.93357175926</v>
      </c>
      <c r="AW11" s="77">
        <f>AV11</f>
        <v>39270.93357175926</v>
      </c>
      <c r="AX11" s="66"/>
      <c r="AY11" s="68"/>
      <c r="AZ11" s="78"/>
      <c r="BA11" s="79"/>
      <c r="BB11" s="80"/>
      <c r="BC11" s="66"/>
      <c r="BD11" s="66"/>
      <c r="BE11" s="106"/>
      <c r="BF11" s="66"/>
      <c r="BG11" s="66"/>
      <c r="BH11" s="91"/>
      <c r="BI11" s="91"/>
      <c r="BJ11" s="91"/>
      <c r="BK11" s="74"/>
      <c r="BL11" s="74"/>
    </row>
    <row r="12" spans="8:64" ht="12.75">
      <c r="H12" s="118" t="s">
        <v>138</v>
      </c>
      <c r="J12" s="2"/>
      <c r="W12" s="35"/>
      <c r="X12" s="35"/>
      <c r="Y12" s="35"/>
      <c r="Z12" s="35"/>
      <c r="AA12" s="35"/>
      <c r="AB12" s="35" t="s">
        <v>9</v>
      </c>
      <c r="AC12" s="37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-0.0125</v>
      </c>
      <c r="AS12" s="35">
        <v>1</v>
      </c>
      <c r="AT12" s="35"/>
      <c r="AU12" s="68" t="s">
        <v>114</v>
      </c>
      <c r="AV12" s="66"/>
      <c r="AW12" s="81">
        <f>AW11</f>
        <v>39270.93357175926</v>
      </c>
      <c r="AX12" s="82" t="s">
        <v>115</v>
      </c>
      <c r="AY12" s="83">
        <v>38326.66274594908</v>
      </c>
      <c r="AZ12" s="84" t="s">
        <v>116</v>
      </c>
      <c r="BA12" s="85">
        <f>IF(AY6=1,0,(AW12-AY12)*90000*BA10)</f>
        <v>0</v>
      </c>
      <c r="BB12" s="86"/>
      <c r="BC12" s="66"/>
      <c r="BD12" s="78"/>
      <c r="BE12" s="106"/>
      <c r="BF12" s="107"/>
      <c r="BG12" s="66"/>
      <c r="BH12" s="91"/>
      <c r="BI12" s="91"/>
      <c r="BJ12" s="91"/>
      <c r="BK12" s="74"/>
      <c r="BL12" s="74"/>
    </row>
    <row r="13" spans="8:62" ht="12.75">
      <c r="H13" s="118" t="s">
        <v>136</v>
      </c>
      <c r="J13" s="2"/>
      <c r="W13" s="35"/>
      <c r="X13" s="35"/>
      <c r="Y13" s="35"/>
      <c r="Z13" s="35"/>
      <c r="AA13" s="35"/>
      <c r="AB13" s="35" t="s">
        <v>10</v>
      </c>
      <c r="AC13" s="37">
        <v>10</v>
      </c>
      <c r="AD13" s="37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87" t="s">
        <v>126</v>
      </c>
      <c r="AV13" s="66"/>
      <c r="AW13" s="66"/>
      <c r="AX13" s="66"/>
      <c r="AY13" s="66"/>
      <c r="AZ13" s="78"/>
      <c r="BA13" s="66" t="s">
        <v>117</v>
      </c>
      <c r="BB13" s="86"/>
      <c r="BC13" s="66"/>
      <c r="BD13" s="66"/>
      <c r="BE13" s="66"/>
      <c r="BF13" s="66"/>
      <c r="BG13" s="66"/>
      <c r="BH13" s="91"/>
      <c r="BI13" s="91"/>
      <c r="BJ13" s="91"/>
    </row>
    <row r="14" spans="10:62" ht="12.75">
      <c r="J14" s="2"/>
      <c r="W14" s="35"/>
      <c r="X14" s="35"/>
      <c r="Y14" s="35"/>
      <c r="Z14" s="35"/>
      <c r="AA14" s="35"/>
      <c r="AB14" s="35"/>
      <c r="AC14" s="37"/>
      <c r="AD14" s="3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88" t="s">
        <v>118</v>
      </c>
      <c r="AV14" s="89"/>
      <c r="AW14" s="89"/>
      <c r="AX14" s="89"/>
      <c r="AY14" s="89"/>
      <c r="AZ14" s="89"/>
      <c r="BA14" s="89"/>
      <c r="BB14" s="90"/>
      <c r="BC14" s="66"/>
      <c r="BD14" s="66"/>
      <c r="BE14" s="66"/>
      <c r="BF14" s="66"/>
      <c r="BG14" s="66"/>
      <c r="BH14" s="91"/>
      <c r="BI14" s="91"/>
      <c r="BJ14" s="91"/>
    </row>
    <row r="15" spans="8:48" ht="12.75">
      <c r="H15" s="112" t="s">
        <v>128</v>
      </c>
      <c r="I15" s="113"/>
      <c r="J15" s="2"/>
      <c r="W15" s="35"/>
      <c r="X15" s="35"/>
      <c r="Y15" s="35"/>
      <c r="Z15" s="35"/>
      <c r="AA15" s="35"/>
      <c r="AB15" s="35"/>
      <c r="AC15" s="37"/>
      <c r="AD15" s="3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0:48" ht="12.75">
      <c r="J16" s="2"/>
      <c r="W16" s="35"/>
      <c r="X16" s="35"/>
      <c r="Y16" s="35"/>
      <c r="Z16" s="35"/>
      <c r="AA16" s="35"/>
      <c r="AB16" s="35"/>
      <c r="AC16" s="37"/>
      <c r="AD16" s="3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8:48" ht="12.75">
      <c r="H17" s="5" t="s">
        <v>35</v>
      </c>
      <c r="I17" s="5"/>
      <c r="J17" s="2"/>
      <c r="W17" s="35"/>
      <c r="X17" s="35"/>
      <c r="Y17" s="35"/>
      <c r="Z17" s="35"/>
      <c r="AA17" s="35"/>
      <c r="AB17" s="35" t="s">
        <v>129</v>
      </c>
      <c r="AC17" s="114">
        <f>IF(BA12&gt;AC20,1,0)</f>
        <v>0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8:48" ht="12.75">
      <c r="H18" s="3"/>
      <c r="I18" s="3"/>
      <c r="J18" s="2"/>
      <c r="W18" s="35"/>
      <c r="X18" s="35"/>
      <c r="Y18" s="35"/>
      <c r="Z18" s="35"/>
      <c r="AA18" s="35"/>
      <c r="AB18" s="35" t="s">
        <v>4</v>
      </c>
      <c r="AC18" s="38">
        <f>AD18/100</f>
        <v>1</v>
      </c>
      <c r="AD18" s="58">
        <v>100</v>
      </c>
      <c r="AE18" s="35"/>
      <c r="AF18" s="35"/>
      <c r="AG18" s="35"/>
      <c r="AH18" s="35"/>
      <c r="AI18" s="35"/>
      <c r="AJ18" s="35"/>
      <c r="AK18" s="35"/>
      <c r="AL18" s="35"/>
      <c r="AM18" s="58">
        <v>0</v>
      </c>
      <c r="AN18" s="35"/>
      <c r="AO18" s="35"/>
      <c r="AP18" s="35"/>
      <c r="AQ18" s="35"/>
      <c r="AR18" s="35"/>
      <c r="AS18" s="35"/>
      <c r="AT18" s="35"/>
      <c r="AU18" s="35"/>
      <c r="AV18" s="35"/>
    </row>
    <row r="19" spans="8:48" ht="12.75">
      <c r="H19" s="5" t="s">
        <v>37</v>
      </c>
      <c r="I19" s="7">
        <f>IF(AC17=1,"?",AC18)</f>
        <v>1</v>
      </c>
      <c r="J19" s="2"/>
      <c r="W19" s="35"/>
      <c r="X19" s="35"/>
      <c r="Y19" s="35"/>
      <c r="Z19" s="35"/>
      <c r="AA19" s="35"/>
      <c r="AB19" s="35" t="s">
        <v>28</v>
      </c>
      <c r="AC19" s="35">
        <v>-1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8:48" ht="13.5" thickBot="1">
      <c r="H20" s="3"/>
      <c r="I20" s="3"/>
      <c r="J20" s="2"/>
      <c r="W20" s="35"/>
      <c r="X20" s="35"/>
      <c r="Y20" s="35"/>
      <c r="Z20" s="35"/>
      <c r="AA20" s="35"/>
      <c r="AB20" s="35" t="s">
        <v>15</v>
      </c>
      <c r="AC20" s="49">
        <f>SQRT(2*(ABS(AC19)+AC18)/9.81)</f>
        <v>0.638550856814101</v>
      </c>
      <c r="AD20" s="35"/>
      <c r="AE20" s="35"/>
      <c r="AF20" s="39" t="s">
        <v>31</v>
      </c>
      <c r="AG20" s="40" t="s">
        <v>33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8:48" ht="13.5" thickBot="1">
      <c r="H21" s="5" t="s">
        <v>36</v>
      </c>
      <c r="I21" s="8">
        <f>IF(AC17=1,"?",AC8)</f>
        <v>500</v>
      </c>
      <c r="J21" s="2"/>
      <c r="W21" s="35"/>
      <c r="X21" s="35"/>
      <c r="Y21" s="35"/>
      <c r="Z21" s="35"/>
      <c r="AA21" s="35"/>
      <c r="AB21" s="35" t="s">
        <v>3</v>
      </c>
      <c r="AC21" s="45">
        <f>AC20/200</f>
        <v>0.003192754284070505</v>
      </c>
      <c r="AD21" s="35" t="s">
        <v>32</v>
      </c>
      <c r="AE21" s="35"/>
      <c r="AF21" s="41">
        <f>MAX(AF23:AF123)</f>
        <v>4.271225392054574E-05</v>
      </c>
      <c r="AG21" s="42">
        <f>MAX(ABS(MAX(AG24:AG223)),ABS(MIN(AG24:AG223)))</f>
        <v>0</v>
      </c>
      <c r="AH21" s="43" t="s">
        <v>17</v>
      </c>
      <c r="AI21" s="44"/>
      <c r="AJ21" s="43" t="s">
        <v>21</v>
      </c>
      <c r="AK21" s="44"/>
      <c r="AL21" s="43" t="s">
        <v>20</v>
      </c>
      <c r="AM21" s="44"/>
      <c r="AN21" s="35"/>
      <c r="AO21" s="43" t="s">
        <v>44</v>
      </c>
      <c r="AP21" s="44"/>
      <c r="AQ21" s="35"/>
      <c r="AR21" s="43" t="s">
        <v>39</v>
      </c>
      <c r="AS21" s="44"/>
      <c r="AT21" s="43" t="s">
        <v>40</v>
      </c>
      <c r="AU21" s="44"/>
      <c r="AV21" s="35"/>
    </row>
    <row r="22" spans="8:48" ht="12.75">
      <c r="H22" s="3"/>
      <c r="I22" s="3"/>
      <c r="J22" s="2"/>
      <c r="W22" s="35"/>
      <c r="X22" s="35"/>
      <c r="Y22" s="35"/>
      <c r="Z22" s="35"/>
      <c r="AA22" s="35"/>
      <c r="AB22" s="111" t="s">
        <v>2</v>
      </c>
      <c r="AC22" s="45" t="s">
        <v>1</v>
      </c>
      <c r="AD22" s="45" t="s">
        <v>29</v>
      </c>
      <c r="AE22" s="45" t="s">
        <v>11</v>
      </c>
      <c r="AF22" s="35" t="s">
        <v>12</v>
      </c>
      <c r="AG22" s="35" t="s">
        <v>34</v>
      </c>
      <c r="AH22" s="35" t="s">
        <v>18</v>
      </c>
      <c r="AI22" s="35" t="s">
        <v>19</v>
      </c>
      <c r="AJ22" s="35" t="s">
        <v>18</v>
      </c>
      <c r="AK22" s="35" t="s">
        <v>19</v>
      </c>
      <c r="AL22" s="45" t="s">
        <v>18</v>
      </c>
      <c r="AM22" s="45" t="s">
        <v>19</v>
      </c>
      <c r="AN22" s="35"/>
      <c r="AO22" s="45" t="s">
        <v>18</v>
      </c>
      <c r="AP22" s="45" t="s">
        <v>19</v>
      </c>
      <c r="AQ22" s="35"/>
      <c r="AR22" s="35" t="s">
        <v>18</v>
      </c>
      <c r="AS22" s="35" t="s">
        <v>19</v>
      </c>
      <c r="AT22" s="35" t="s">
        <v>18</v>
      </c>
      <c r="AU22" s="35" t="s">
        <v>19</v>
      </c>
      <c r="AV22" s="35"/>
    </row>
    <row r="23" spans="8:48" ht="12.75">
      <c r="H23" s="5" t="s">
        <v>38</v>
      </c>
      <c r="I23" s="7">
        <f>IF(AC17=1,"?",AC11)</f>
        <v>0.3</v>
      </c>
      <c r="J23" s="2"/>
      <c r="W23" s="35"/>
      <c r="X23" s="35"/>
      <c r="Y23" s="35"/>
      <c r="Z23" s="35"/>
      <c r="AA23" s="35">
        <v>0</v>
      </c>
      <c r="AB23" s="35">
        <f>MIN(AA23,$AM$18)</f>
        <v>0</v>
      </c>
      <c r="AC23" s="65">
        <f>MIN(AB23*$AC$21,$BA$12)</f>
        <v>0</v>
      </c>
      <c r="AD23" s="64">
        <f>$AC$18-0.5*9.81*AC23^2</f>
        <v>1</v>
      </c>
      <c r="AE23" s="48">
        <f>$AC$11*EXP(-$AC$13*(AD23)^2)</f>
        <v>1.3619978928745457E-05</v>
      </c>
      <c r="AF23" s="48">
        <f>IF($Z$25=FALSE,AE23*$AC$7*1000,-AE23*$AC$7*1000)</f>
        <v>4.271225392054574E-05</v>
      </c>
      <c r="AG23" s="49"/>
      <c r="AH23" s="35">
        <f>-($AC$5/100/2)</f>
        <v>-0.06</v>
      </c>
      <c r="AI23" s="35">
        <f>-$AC$4/2</f>
        <v>-0.1</v>
      </c>
      <c r="AJ23" s="35">
        <f>-$AC$6/100/2</f>
        <v>-0.027999999999999997</v>
      </c>
      <c r="AK23" s="35">
        <f>-$AC$4/2</f>
        <v>-0.1</v>
      </c>
      <c r="AL23" s="50">
        <f>IF($Z$25=TRUE,-$AC$10/100/4,100)</f>
        <v>100</v>
      </c>
      <c r="AM23" s="50">
        <f>IF($Z$25=TRUE,$AC$18-0.5*9.81*$BA$12^2-AC9/2,100)</f>
        <v>100</v>
      </c>
      <c r="AN23" s="37"/>
      <c r="AO23" s="51">
        <f>IF($Z$25=FALSE,-$AC$10/100/4,100)</f>
        <v>-0.0125</v>
      </c>
      <c r="AP23" s="51">
        <f>IF($Z$25=FALSE,$AC$18-0.5*9.81*$BA$12^2-AC9/2,100)</f>
        <v>0.9</v>
      </c>
      <c r="AQ23" s="35"/>
      <c r="AR23" s="35">
        <f>AH23</f>
        <v>-0.06</v>
      </c>
      <c r="AS23" s="35">
        <f>AC18+AC9/2</f>
        <v>1.1</v>
      </c>
      <c r="AT23" s="35">
        <v>0</v>
      </c>
      <c r="AU23" s="35">
        <f>AS23</f>
        <v>1.1</v>
      </c>
      <c r="AV23" s="35"/>
    </row>
    <row r="24" spans="10:48" ht="12.75">
      <c r="J24" s="2"/>
      <c r="W24" s="35"/>
      <c r="X24" s="35"/>
      <c r="Y24" s="35"/>
      <c r="Z24" s="35"/>
      <c r="AA24" s="35">
        <v>1</v>
      </c>
      <c r="AB24" s="35">
        <v>1</v>
      </c>
      <c r="AC24" s="65">
        <f aca="true" t="shared" si="0" ref="AC24:AC87">MIN(AB24*$AC$21,$BA$12)</f>
        <v>0</v>
      </c>
      <c r="AD24" s="64">
        <f aca="true" t="shared" si="1" ref="AD24:AD87">$AC$18-0.5*9.81*AC24^2</f>
        <v>1</v>
      </c>
      <c r="AE24" s="48">
        <f aca="true" t="shared" si="2" ref="AE24:AE87">$AC$11*EXP(-$AC$13*(AD24)^2)</f>
        <v>1.3619978928745457E-05</v>
      </c>
      <c r="AF24" s="48">
        <f aca="true" t="shared" si="3" ref="AF24:AF87">IF($Z$25=FALSE,AE24*$AC$7*1000,-AE24*$AC$7*1000)</f>
        <v>4.271225392054574E-05</v>
      </c>
      <c r="AG24" s="49">
        <f>IF($Z$27=TRUE,IF(AC25=AC23,0,$AC$8*(AF25-AF23)/(AC25-AC23)/1000),100)</f>
        <v>0</v>
      </c>
      <c r="AH24" s="35">
        <f>($AC$5/100/2)</f>
        <v>0.06</v>
      </c>
      <c r="AI24" s="35">
        <f>-$AC$4/2</f>
        <v>-0.1</v>
      </c>
      <c r="AJ24" s="35">
        <f>$AC$6/100/2</f>
        <v>0.027999999999999997</v>
      </c>
      <c r="AK24" s="35">
        <f>-$AC$4/2</f>
        <v>-0.1</v>
      </c>
      <c r="AL24" s="50">
        <f>IF($Z$25=TRUE,$AC$10/100/4,100)</f>
        <v>100</v>
      </c>
      <c r="AM24" s="50">
        <f>IF($Z$25=TRUE,AM23,100)</f>
        <v>100</v>
      </c>
      <c r="AN24" s="35"/>
      <c r="AO24" s="51">
        <f>IF($Z$25=FALSE,$AC$10/100/4,100)</f>
        <v>0.0125</v>
      </c>
      <c r="AP24" s="51">
        <f>IF($Z$25=FALSE,AP23,100)</f>
        <v>0.9</v>
      </c>
      <c r="AQ24" s="35"/>
      <c r="AR24" s="35">
        <f>AH24</f>
        <v>0.06</v>
      </c>
      <c r="AS24" s="35">
        <f>AS23</f>
        <v>1.1</v>
      </c>
      <c r="AT24" s="35">
        <v>0</v>
      </c>
      <c r="AU24" s="35">
        <f>AM32</f>
        <v>100</v>
      </c>
      <c r="AV24" s="35"/>
    </row>
    <row r="25" spans="8:53" ht="12.75">
      <c r="H25" s="5" t="s">
        <v>41</v>
      </c>
      <c r="I25" s="13" t="str">
        <f>IF(Z25=TRUE,"Ja","Nee")</f>
        <v>Nee</v>
      </c>
      <c r="J25" s="2"/>
      <c r="W25" s="35"/>
      <c r="X25" s="35"/>
      <c r="Y25" s="52" t="s">
        <v>41</v>
      </c>
      <c r="Z25" s="58" t="b">
        <f>IF(AZ25=1,TRUE,FALSE)</f>
        <v>0</v>
      </c>
      <c r="AA25" s="35">
        <v>2</v>
      </c>
      <c r="AB25" s="35">
        <v>2</v>
      </c>
      <c r="AC25" s="65">
        <f t="shared" si="0"/>
        <v>0</v>
      </c>
      <c r="AD25" s="64">
        <f t="shared" si="1"/>
        <v>1</v>
      </c>
      <c r="AE25" s="48">
        <f t="shared" si="2"/>
        <v>1.3619978928745457E-05</v>
      </c>
      <c r="AF25" s="48">
        <f t="shared" si="3"/>
        <v>4.271225392054574E-05</v>
      </c>
      <c r="AG25" s="49">
        <f>IF($Z$27=TRUE,IF(AC26=AC24,AG24,$AC$8*(AF26-AF24)/(AC26-AC24)/1000),100)</f>
        <v>0</v>
      </c>
      <c r="AH25" s="35">
        <f>($AC$5/100/2)</f>
        <v>0.06</v>
      </c>
      <c r="AI25" s="35">
        <f>$AC$4/2</f>
        <v>0.1</v>
      </c>
      <c r="AJ25" s="35">
        <f>$AC$6/100/2</f>
        <v>0.027999999999999997</v>
      </c>
      <c r="AK25" s="35">
        <f>$AC$4/2</f>
        <v>0.1</v>
      </c>
      <c r="AL25" s="50">
        <f>IF($Z$25=TRUE,$AC$10/100/4,100)</f>
        <v>100</v>
      </c>
      <c r="AM25" s="50">
        <f>IF($Z$25=TRUE,$AC$18-0.5*9.81*$BA$12^2,100)</f>
        <v>100</v>
      </c>
      <c r="AN25" s="53" t="s">
        <v>30</v>
      </c>
      <c r="AO25" s="51">
        <f>IF($Z$25=FALSE,$AC$10/100/4,100)</f>
        <v>0.0125</v>
      </c>
      <c r="AP25" s="51">
        <f>IF($Z$25=FALSE,$AC$18-0.5*9.81*$BA$12^2,100)</f>
        <v>1</v>
      </c>
      <c r="AQ25" s="35"/>
      <c r="AR25" s="35"/>
      <c r="AS25" s="35"/>
      <c r="AT25" s="35"/>
      <c r="AU25" s="35"/>
      <c r="AV25" s="35"/>
      <c r="AZ25" s="121">
        <v>0</v>
      </c>
      <c r="BA25" s="1" t="s">
        <v>143</v>
      </c>
    </row>
    <row r="26" spans="10:48" ht="12.75">
      <c r="J26" s="2"/>
      <c r="W26" s="35"/>
      <c r="X26" s="35"/>
      <c r="Y26" s="35"/>
      <c r="Z26" s="58"/>
      <c r="AA26" s="35">
        <v>3</v>
      </c>
      <c r="AB26" s="35">
        <v>3</v>
      </c>
      <c r="AC26" s="65">
        <f t="shared" si="0"/>
        <v>0</v>
      </c>
      <c r="AD26" s="64">
        <f t="shared" si="1"/>
        <v>1</v>
      </c>
      <c r="AE26" s="48">
        <f t="shared" si="2"/>
        <v>1.3619978928745457E-05</v>
      </c>
      <c r="AF26" s="48">
        <f t="shared" si="3"/>
        <v>4.271225392054574E-05</v>
      </c>
      <c r="AG26" s="49">
        <f aca="true" t="shared" si="4" ref="AG26:AG89">IF($Z$27=TRUE,IF(AC27=AC25,AG25,$AC$8*(AF27-AF25)/(AC27-AC25)/1000),100)</f>
        <v>0</v>
      </c>
      <c r="AH26" s="35">
        <f>-($AC$5/100/2)</f>
        <v>-0.06</v>
      </c>
      <c r="AI26" s="35">
        <f>$AC$4/2</f>
        <v>0.1</v>
      </c>
      <c r="AJ26" s="35">
        <f>-$AC$6/100/2</f>
        <v>-0.027999999999999997</v>
      </c>
      <c r="AK26" s="35">
        <f>$AC$4/2</f>
        <v>0.1</v>
      </c>
      <c r="AL26" s="50">
        <f>IF($Z$25=TRUE,-$AC$10/100/4,100)</f>
        <v>100</v>
      </c>
      <c r="AM26" s="50">
        <f>IF($Z$25=TRUE,AM25,100)</f>
        <v>100</v>
      </c>
      <c r="AN26" s="35"/>
      <c r="AO26" s="51">
        <f>IF($Z$25=FALSE,-$AC$10/100/4,100)</f>
        <v>-0.0125</v>
      </c>
      <c r="AP26" s="51">
        <f>IF($Z$25=FALSE,AP25,100)</f>
        <v>1</v>
      </c>
      <c r="AQ26" s="35"/>
      <c r="AR26" s="35"/>
      <c r="AS26" s="35"/>
      <c r="AT26" s="35"/>
      <c r="AU26" s="35"/>
      <c r="AV26" s="35"/>
    </row>
    <row r="27" spans="8:53" ht="15.75">
      <c r="H27" s="5" t="s">
        <v>42</v>
      </c>
      <c r="I27" s="13" t="str">
        <f>IF(Z27=TRUE,"Ja","Nee")</f>
        <v>Ja</v>
      </c>
      <c r="J27" s="2"/>
      <c r="W27" s="35"/>
      <c r="X27" s="35"/>
      <c r="Y27" s="35"/>
      <c r="Z27" s="58" t="b">
        <f>IF(AZ27=1,TRUE,FALSE)</f>
        <v>1</v>
      </c>
      <c r="AA27" s="35">
        <v>4</v>
      </c>
      <c r="AB27" s="35">
        <v>4</v>
      </c>
      <c r="AC27" s="65">
        <f t="shared" si="0"/>
        <v>0</v>
      </c>
      <c r="AD27" s="64">
        <f t="shared" si="1"/>
        <v>1</v>
      </c>
      <c r="AE27" s="48">
        <f t="shared" si="2"/>
        <v>1.3619978928745457E-05</v>
      </c>
      <c r="AF27" s="48">
        <f t="shared" si="3"/>
        <v>4.271225392054574E-05</v>
      </c>
      <c r="AG27" s="49">
        <f t="shared" si="4"/>
        <v>0</v>
      </c>
      <c r="AH27" s="35">
        <f>-($AC$5/100/2)</f>
        <v>-0.06</v>
      </c>
      <c r="AI27" s="35">
        <f>-$AC$4/2</f>
        <v>-0.1</v>
      </c>
      <c r="AJ27" s="35">
        <f>-$AC$6/100/2</f>
        <v>-0.027999999999999997</v>
      </c>
      <c r="AK27" s="35">
        <f>-$AC$4/2</f>
        <v>-0.1</v>
      </c>
      <c r="AL27" s="50">
        <f>IF($Z$25=TRUE,-$AC$10/100/4,100)</f>
        <v>100</v>
      </c>
      <c r="AM27" s="50">
        <f>IF($Z$25=TRUE,AM23,100)</f>
        <v>100</v>
      </c>
      <c r="AN27" s="35"/>
      <c r="AO27" s="51">
        <f>IF($Z$25=FALSE,-$AC$10/100/4,100)</f>
        <v>-0.0125</v>
      </c>
      <c r="AP27" s="51">
        <f>IF($Z$25=FALSE,AP23,100)</f>
        <v>0.9</v>
      </c>
      <c r="AQ27" s="35"/>
      <c r="AR27" s="35"/>
      <c r="AS27" s="35"/>
      <c r="AT27" s="35"/>
      <c r="AU27" s="35"/>
      <c r="AV27" s="35"/>
      <c r="AZ27" s="121">
        <v>1</v>
      </c>
      <c r="BA27" s="1" t="s">
        <v>144</v>
      </c>
    </row>
    <row r="28" spans="10:48" ht="13.5" thickBot="1">
      <c r="J28" s="2"/>
      <c r="W28" s="35"/>
      <c r="X28" s="35"/>
      <c r="Y28" s="35"/>
      <c r="Z28" s="35"/>
      <c r="AA28" s="35">
        <v>5</v>
      </c>
      <c r="AB28" s="35">
        <v>5</v>
      </c>
      <c r="AC28" s="65">
        <f t="shared" si="0"/>
        <v>0</v>
      </c>
      <c r="AD28" s="64">
        <f t="shared" si="1"/>
        <v>1</v>
      </c>
      <c r="AE28" s="48">
        <f t="shared" si="2"/>
        <v>1.3619978928745457E-05</v>
      </c>
      <c r="AF28" s="48">
        <f t="shared" si="3"/>
        <v>4.271225392054574E-05</v>
      </c>
      <c r="AG28" s="49">
        <f t="shared" si="4"/>
        <v>0</v>
      </c>
      <c r="AH28" s="35"/>
      <c r="AI28" s="35"/>
      <c r="AJ28" s="35"/>
      <c r="AK28" s="35"/>
      <c r="AL28" s="45" t="s">
        <v>27</v>
      </c>
      <c r="AM28" s="45">
        <v>0</v>
      </c>
      <c r="AN28" s="35"/>
      <c r="AO28" s="45" t="s">
        <v>27</v>
      </c>
      <c r="AP28" s="45">
        <v>0</v>
      </c>
      <c r="AQ28" s="35"/>
      <c r="AR28" s="35"/>
      <c r="AS28" s="35"/>
      <c r="AT28" s="35"/>
      <c r="AU28" s="35"/>
      <c r="AV28" s="35"/>
    </row>
    <row r="29" spans="10:48" ht="13.5" thickBot="1">
      <c r="J29" s="2"/>
      <c r="W29" s="35"/>
      <c r="X29" s="35"/>
      <c r="Y29" s="35"/>
      <c r="Z29" s="35"/>
      <c r="AA29" s="35">
        <v>6</v>
      </c>
      <c r="AB29" s="35">
        <v>6</v>
      </c>
      <c r="AC29" s="65">
        <f t="shared" si="0"/>
        <v>0</v>
      </c>
      <c r="AD29" s="64">
        <f t="shared" si="1"/>
        <v>1</v>
      </c>
      <c r="AE29" s="48">
        <f t="shared" si="2"/>
        <v>1.3619978928745457E-05</v>
      </c>
      <c r="AF29" s="48">
        <f t="shared" si="3"/>
        <v>4.271225392054574E-05</v>
      </c>
      <c r="AG29" s="49">
        <f t="shared" si="4"/>
        <v>0</v>
      </c>
      <c r="AH29" s="35"/>
      <c r="AI29" s="35"/>
      <c r="AJ29" s="43" t="s">
        <v>26</v>
      </c>
      <c r="AK29" s="44"/>
      <c r="AL29" s="51">
        <f>IF($Z$25=TRUE,-$AC$10/100/4,100)</f>
        <v>100</v>
      </c>
      <c r="AM29" s="51">
        <f>IF($Z$25=TRUE,AM23+$AC$9/2+$AM$28,100)</f>
        <v>100</v>
      </c>
      <c r="AN29" s="35"/>
      <c r="AO29" s="54">
        <f>IF($Z$25=FALSE,-$AC$10/100/4,100)</f>
        <v>-0.0125</v>
      </c>
      <c r="AP29" s="54">
        <f>IF($Z$25=FALSE,AP23+$AC$9/2+$AM$28,100)</f>
        <v>1</v>
      </c>
      <c r="AQ29" s="35"/>
      <c r="AR29" s="35"/>
      <c r="AS29" s="35"/>
      <c r="AT29" s="35"/>
      <c r="AU29" s="35"/>
      <c r="AV29" s="35"/>
    </row>
    <row r="30" spans="10:48" ht="12.75">
      <c r="J30" s="2"/>
      <c r="W30" s="35"/>
      <c r="X30" s="35"/>
      <c r="Y30" s="35"/>
      <c r="Z30" s="35"/>
      <c r="AA30" s="35">
        <v>7</v>
      </c>
      <c r="AB30" s="35">
        <v>7</v>
      </c>
      <c r="AC30" s="65">
        <f t="shared" si="0"/>
        <v>0</v>
      </c>
      <c r="AD30" s="64">
        <f t="shared" si="1"/>
        <v>1</v>
      </c>
      <c r="AE30" s="48">
        <f t="shared" si="2"/>
        <v>1.3619978928745457E-05</v>
      </c>
      <c r="AF30" s="48">
        <f t="shared" si="3"/>
        <v>4.271225392054574E-05</v>
      </c>
      <c r="AG30" s="49">
        <f t="shared" si="4"/>
        <v>0</v>
      </c>
      <c r="AH30" s="35"/>
      <c r="AI30" s="35"/>
      <c r="AJ30" s="35" t="s">
        <v>18</v>
      </c>
      <c r="AK30" s="35" t="s">
        <v>19</v>
      </c>
      <c r="AL30" s="51">
        <f>IF($Z$25=TRUE,$AC$10/100/4,100)</f>
        <v>100</v>
      </c>
      <c r="AM30" s="51">
        <f>IF($Z$25=TRUE,AM24+$AC$9/2+$AM$28,100)</f>
        <v>100</v>
      </c>
      <c r="AN30" s="35"/>
      <c r="AO30" s="54">
        <f>IF($Z$25=FALSE,$AC$10/100/4,100)</f>
        <v>0.0125</v>
      </c>
      <c r="AP30" s="54">
        <f>IF($Z$25=FALSE,AP24+$AC$9/2+$AM$28,100)</f>
        <v>1</v>
      </c>
      <c r="AQ30" s="35"/>
      <c r="AR30" s="35"/>
      <c r="AS30" s="35"/>
      <c r="AT30" s="35"/>
      <c r="AU30" s="35"/>
      <c r="AV30" s="35"/>
    </row>
    <row r="31" spans="10:48" ht="12.75">
      <c r="J31" s="2"/>
      <c r="W31" s="35"/>
      <c r="X31" s="35"/>
      <c r="Y31" s="35"/>
      <c r="Z31" s="35"/>
      <c r="AA31" s="35">
        <v>8</v>
      </c>
      <c r="AB31" s="35">
        <v>8</v>
      </c>
      <c r="AC31" s="65">
        <f t="shared" si="0"/>
        <v>0</v>
      </c>
      <c r="AD31" s="64">
        <f t="shared" si="1"/>
        <v>1</v>
      </c>
      <c r="AE31" s="48">
        <f t="shared" si="2"/>
        <v>1.3619978928745457E-05</v>
      </c>
      <c r="AF31" s="48">
        <f t="shared" si="3"/>
        <v>4.271225392054574E-05</v>
      </c>
      <c r="AG31" s="49">
        <f t="shared" si="4"/>
        <v>0</v>
      </c>
      <c r="AH31" s="35"/>
      <c r="AI31" s="35"/>
      <c r="AJ31" s="35">
        <f>-1</f>
        <v>-1</v>
      </c>
      <c r="AK31" s="35">
        <f>$AC$4/4*3-$AC$4/2</f>
        <v>0.05000000000000002</v>
      </c>
      <c r="AL31" s="51">
        <f>IF($Z$25=TRUE,$AC$10/100/4,100)</f>
        <v>100</v>
      </c>
      <c r="AM31" s="51">
        <f>IF($Z$25=TRUE,AM25+$AC$9/2+AM28,100)</f>
        <v>100</v>
      </c>
      <c r="AN31" s="35"/>
      <c r="AO31" s="54">
        <f>IF($Z$25=FALSE,$AC$10/100/4,100)</f>
        <v>0.0125</v>
      </c>
      <c r="AP31" s="54">
        <f>IF($Z$25=FALSE,AP25+$AC$9/2+AP28,100)</f>
        <v>1.1</v>
      </c>
      <c r="AQ31" s="35"/>
      <c r="AR31" s="35"/>
      <c r="AS31" s="35"/>
      <c r="AT31" s="35"/>
      <c r="AU31" s="35"/>
      <c r="AV31" s="35"/>
    </row>
    <row r="32" spans="10:48" ht="12.75">
      <c r="J32" s="2"/>
      <c r="W32" s="35"/>
      <c r="X32" s="35"/>
      <c r="Y32" s="35"/>
      <c r="Z32" s="35"/>
      <c r="AA32" s="35">
        <v>9</v>
      </c>
      <c r="AB32" s="35">
        <v>9</v>
      </c>
      <c r="AC32" s="65">
        <f t="shared" si="0"/>
        <v>0</v>
      </c>
      <c r="AD32" s="64">
        <f t="shared" si="1"/>
        <v>1</v>
      </c>
      <c r="AE32" s="48">
        <f t="shared" si="2"/>
        <v>1.3619978928745457E-05</v>
      </c>
      <c r="AF32" s="48">
        <f t="shared" si="3"/>
        <v>4.271225392054574E-05</v>
      </c>
      <c r="AG32" s="49">
        <f t="shared" si="4"/>
        <v>0</v>
      </c>
      <c r="AH32" s="35"/>
      <c r="AI32" s="35"/>
      <c r="AJ32" s="35">
        <f>AH23</f>
        <v>-0.06</v>
      </c>
      <c r="AK32" s="35">
        <f>$AC$4/4*3-$AC$4/2</f>
        <v>0.05000000000000002</v>
      </c>
      <c r="AL32" s="51">
        <f>IF($Z$25=TRUE,-$AC$10/100/4,100)</f>
        <v>100</v>
      </c>
      <c r="AM32" s="51">
        <f>IF($Z$25=TRUE,AM26+$AC$9/2+AM28,100)</f>
        <v>100</v>
      </c>
      <c r="AN32" s="35"/>
      <c r="AO32" s="54">
        <f>IF($Z$25=FALSE,-$AC$10/100/4,100)</f>
        <v>-0.0125</v>
      </c>
      <c r="AP32" s="54">
        <f>IF($Z$25=FALSE,AP26+$AC$9/2+AP28,100)</f>
        <v>1.1</v>
      </c>
      <c r="AQ32" s="35"/>
      <c r="AR32" s="35"/>
      <c r="AS32" s="35"/>
      <c r="AT32" s="35"/>
      <c r="AU32" s="35"/>
      <c r="AV32" s="35"/>
    </row>
    <row r="33" spans="23:48" ht="12.75">
      <c r="W33" s="35"/>
      <c r="X33" s="35"/>
      <c r="Y33" s="35"/>
      <c r="Z33" s="35"/>
      <c r="AA33" s="35">
        <v>10</v>
      </c>
      <c r="AB33" s="35">
        <v>10</v>
      </c>
      <c r="AC33" s="65">
        <f t="shared" si="0"/>
        <v>0</v>
      </c>
      <c r="AD33" s="64">
        <f t="shared" si="1"/>
        <v>1</v>
      </c>
      <c r="AE33" s="48">
        <f t="shared" si="2"/>
        <v>1.3619978928745457E-05</v>
      </c>
      <c r="AF33" s="48">
        <f t="shared" si="3"/>
        <v>4.271225392054574E-05</v>
      </c>
      <c r="AG33" s="49">
        <f t="shared" si="4"/>
        <v>0</v>
      </c>
      <c r="AH33" s="35"/>
      <c r="AI33" s="35"/>
      <c r="AJ33" s="35"/>
      <c r="AK33" s="35"/>
      <c r="AL33" s="51">
        <f>IF($Z$25=TRUE,-$AC$10/100/4,100)</f>
        <v>100</v>
      </c>
      <c r="AM33" s="51">
        <f>IF($Z$25=TRUE,AM27+$AC$9/2+AM28,100)</f>
        <v>100</v>
      </c>
      <c r="AN33" s="35"/>
      <c r="AO33" s="54">
        <f>IF($Z$25=FALSE,-$AC$10/100/4,100)</f>
        <v>-0.0125</v>
      </c>
      <c r="AP33" s="54">
        <f>IF($Z$25=FALSE,AP27+$AC$9/2+AP28,100)</f>
        <v>1</v>
      </c>
      <c r="AQ33" s="35"/>
      <c r="AR33" s="35"/>
      <c r="AS33" s="35"/>
      <c r="AT33" s="35"/>
      <c r="AU33" s="35"/>
      <c r="AV33" s="35"/>
    </row>
    <row r="34" spans="23:48" ht="12.75">
      <c r="W34" s="35"/>
      <c r="X34" s="35"/>
      <c r="Y34" s="35"/>
      <c r="Z34" s="35"/>
      <c r="AA34" s="35">
        <v>11</v>
      </c>
      <c r="AB34" s="35">
        <v>11</v>
      </c>
      <c r="AC34" s="65">
        <f t="shared" si="0"/>
        <v>0</v>
      </c>
      <c r="AD34" s="64">
        <f t="shared" si="1"/>
        <v>1</v>
      </c>
      <c r="AE34" s="48">
        <f t="shared" si="2"/>
        <v>1.3619978928745457E-05</v>
      </c>
      <c r="AF34" s="48">
        <f t="shared" si="3"/>
        <v>4.271225392054574E-05</v>
      </c>
      <c r="AG34" s="49">
        <f t="shared" si="4"/>
        <v>0</v>
      </c>
      <c r="AH34" s="35"/>
      <c r="AI34" s="35"/>
      <c r="AJ34" s="35">
        <f>AJ31</f>
        <v>-1</v>
      </c>
      <c r="AK34" s="35">
        <f>$AC$4/4*1-$AC$4/2</f>
        <v>-0.05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23:48" ht="12.75">
      <c r="W35" s="35"/>
      <c r="X35" s="35"/>
      <c r="Y35" s="35"/>
      <c r="Z35" s="35"/>
      <c r="AA35" s="35">
        <v>12</v>
      </c>
      <c r="AB35" s="35">
        <v>12</v>
      </c>
      <c r="AC35" s="65">
        <f t="shared" si="0"/>
        <v>0</v>
      </c>
      <c r="AD35" s="64">
        <f t="shared" si="1"/>
        <v>1</v>
      </c>
      <c r="AE35" s="48">
        <f t="shared" si="2"/>
        <v>1.3619978928745457E-05</v>
      </c>
      <c r="AF35" s="48">
        <f t="shared" si="3"/>
        <v>4.271225392054574E-05</v>
      </c>
      <c r="AG35" s="49">
        <f t="shared" si="4"/>
        <v>0</v>
      </c>
      <c r="AH35" s="35"/>
      <c r="AI35" s="35"/>
      <c r="AJ35" s="35">
        <f>AH23</f>
        <v>-0.06</v>
      </c>
      <c r="AK35" s="35">
        <f>$AC$4/4*1-$AC$4/2</f>
        <v>-0.05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3:48" ht="12.75">
      <c r="W36" s="35"/>
      <c r="X36" s="35"/>
      <c r="Y36" s="35"/>
      <c r="Z36" s="35"/>
      <c r="AA36" s="35">
        <v>13</v>
      </c>
      <c r="AB36" s="35">
        <v>13</v>
      </c>
      <c r="AC36" s="65">
        <f t="shared" si="0"/>
        <v>0</v>
      </c>
      <c r="AD36" s="64">
        <f t="shared" si="1"/>
        <v>1</v>
      </c>
      <c r="AE36" s="48">
        <f t="shared" si="2"/>
        <v>1.3619978928745457E-05</v>
      </c>
      <c r="AF36" s="48">
        <f t="shared" si="3"/>
        <v>4.271225392054574E-05</v>
      </c>
      <c r="AG36" s="49">
        <f t="shared" si="4"/>
        <v>0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3:48" ht="12.75">
      <c r="W37" s="35"/>
      <c r="X37" s="35"/>
      <c r="Y37" s="35"/>
      <c r="Z37" s="35"/>
      <c r="AA37" s="35">
        <v>14</v>
      </c>
      <c r="AB37" s="35">
        <v>14</v>
      </c>
      <c r="AC37" s="65">
        <f t="shared" si="0"/>
        <v>0</v>
      </c>
      <c r="AD37" s="64">
        <f t="shared" si="1"/>
        <v>1</v>
      </c>
      <c r="AE37" s="48">
        <f t="shared" si="2"/>
        <v>1.3619978928745457E-05</v>
      </c>
      <c r="AF37" s="48">
        <f t="shared" si="3"/>
        <v>4.271225392054574E-05</v>
      </c>
      <c r="AG37" s="49">
        <f t="shared" si="4"/>
        <v>0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23:48" ht="12.75">
      <c r="W38" s="35"/>
      <c r="X38" s="35"/>
      <c r="Y38" s="35"/>
      <c r="Z38" s="35"/>
      <c r="AA38" s="35">
        <v>15</v>
      </c>
      <c r="AB38" s="35">
        <v>15</v>
      </c>
      <c r="AC38" s="65">
        <f t="shared" si="0"/>
        <v>0</v>
      </c>
      <c r="AD38" s="64">
        <f t="shared" si="1"/>
        <v>1</v>
      </c>
      <c r="AE38" s="48">
        <f t="shared" si="2"/>
        <v>1.3619978928745457E-05</v>
      </c>
      <c r="AF38" s="48">
        <f t="shared" si="3"/>
        <v>4.271225392054574E-05</v>
      </c>
      <c r="AG38" s="49">
        <f t="shared" si="4"/>
        <v>0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23:48" ht="12.75">
      <c r="W39" s="35"/>
      <c r="X39" s="35"/>
      <c r="Y39" s="35"/>
      <c r="Z39" s="35"/>
      <c r="AA39" s="35">
        <v>16</v>
      </c>
      <c r="AB39" s="35">
        <v>16</v>
      </c>
      <c r="AC39" s="65">
        <f t="shared" si="0"/>
        <v>0</v>
      </c>
      <c r="AD39" s="64">
        <f t="shared" si="1"/>
        <v>1</v>
      </c>
      <c r="AE39" s="48">
        <f t="shared" si="2"/>
        <v>1.3619978928745457E-05</v>
      </c>
      <c r="AF39" s="48">
        <f t="shared" si="3"/>
        <v>4.271225392054574E-05</v>
      </c>
      <c r="AG39" s="49">
        <f t="shared" si="4"/>
        <v>0</v>
      </c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23:48" ht="12.75">
      <c r="W40" s="35"/>
      <c r="X40" s="35"/>
      <c r="Y40" s="35"/>
      <c r="Z40" s="35"/>
      <c r="AA40" s="35">
        <v>17</v>
      </c>
      <c r="AB40" s="35">
        <v>17</v>
      </c>
      <c r="AC40" s="65">
        <f t="shared" si="0"/>
        <v>0</v>
      </c>
      <c r="AD40" s="64">
        <f t="shared" si="1"/>
        <v>1</v>
      </c>
      <c r="AE40" s="48">
        <f t="shared" si="2"/>
        <v>1.3619978928745457E-05</v>
      </c>
      <c r="AF40" s="48">
        <f t="shared" si="3"/>
        <v>4.271225392054574E-05</v>
      </c>
      <c r="AG40" s="49">
        <f t="shared" si="4"/>
        <v>0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23:48" ht="12.75">
      <c r="W41" s="35"/>
      <c r="X41" s="35"/>
      <c r="Y41" s="35"/>
      <c r="Z41" s="35"/>
      <c r="AA41" s="35">
        <v>18</v>
      </c>
      <c r="AB41" s="35">
        <v>18</v>
      </c>
      <c r="AC41" s="65">
        <f t="shared" si="0"/>
        <v>0</v>
      </c>
      <c r="AD41" s="64">
        <f t="shared" si="1"/>
        <v>1</v>
      </c>
      <c r="AE41" s="48">
        <f t="shared" si="2"/>
        <v>1.3619978928745457E-05</v>
      </c>
      <c r="AF41" s="48">
        <f t="shared" si="3"/>
        <v>4.271225392054574E-05</v>
      </c>
      <c r="AG41" s="49">
        <f t="shared" si="4"/>
        <v>0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23:48" ht="12.75">
      <c r="W42" s="35"/>
      <c r="X42" s="35"/>
      <c r="Y42" s="35"/>
      <c r="Z42" s="35"/>
      <c r="AA42" s="35">
        <v>19</v>
      </c>
      <c r="AB42" s="35">
        <v>19</v>
      </c>
      <c r="AC42" s="65">
        <f t="shared" si="0"/>
        <v>0</v>
      </c>
      <c r="AD42" s="64">
        <f t="shared" si="1"/>
        <v>1</v>
      </c>
      <c r="AE42" s="48">
        <f t="shared" si="2"/>
        <v>1.3619978928745457E-05</v>
      </c>
      <c r="AF42" s="48">
        <f t="shared" si="3"/>
        <v>4.271225392054574E-05</v>
      </c>
      <c r="AG42" s="49">
        <f t="shared" si="4"/>
        <v>0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23:48" ht="12.75">
      <c r="W43" s="35"/>
      <c r="X43" s="35"/>
      <c r="Y43" s="35"/>
      <c r="Z43" s="35"/>
      <c r="AA43" s="35">
        <v>20</v>
      </c>
      <c r="AB43" s="35">
        <v>20</v>
      </c>
      <c r="AC43" s="65">
        <f t="shared" si="0"/>
        <v>0</v>
      </c>
      <c r="AD43" s="64">
        <f t="shared" si="1"/>
        <v>1</v>
      </c>
      <c r="AE43" s="48">
        <f t="shared" si="2"/>
        <v>1.3619978928745457E-05</v>
      </c>
      <c r="AF43" s="48">
        <f t="shared" si="3"/>
        <v>4.271225392054574E-05</v>
      </c>
      <c r="AG43" s="49">
        <f t="shared" si="4"/>
        <v>0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23:48" ht="12.75">
      <c r="W44" s="35"/>
      <c r="X44" s="35"/>
      <c r="Y44" s="35"/>
      <c r="Z44" s="35"/>
      <c r="AA44" s="35">
        <v>21</v>
      </c>
      <c r="AB44" s="35">
        <v>21</v>
      </c>
      <c r="AC44" s="65">
        <f t="shared" si="0"/>
        <v>0</v>
      </c>
      <c r="AD44" s="64">
        <f t="shared" si="1"/>
        <v>1</v>
      </c>
      <c r="AE44" s="48">
        <f t="shared" si="2"/>
        <v>1.3619978928745457E-05</v>
      </c>
      <c r="AF44" s="48">
        <f t="shared" si="3"/>
        <v>4.271225392054574E-05</v>
      </c>
      <c r="AG44" s="49">
        <f t="shared" si="4"/>
        <v>0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23:48" ht="12.75">
      <c r="W45" s="35"/>
      <c r="X45" s="35"/>
      <c r="Y45" s="35"/>
      <c r="Z45" s="35"/>
      <c r="AA45" s="35">
        <v>22</v>
      </c>
      <c r="AB45" s="35">
        <v>22</v>
      </c>
      <c r="AC45" s="65">
        <f t="shared" si="0"/>
        <v>0</v>
      </c>
      <c r="AD45" s="64">
        <f t="shared" si="1"/>
        <v>1</v>
      </c>
      <c r="AE45" s="48">
        <f t="shared" si="2"/>
        <v>1.3619978928745457E-05</v>
      </c>
      <c r="AF45" s="48">
        <f t="shared" si="3"/>
        <v>4.271225392054574E-05</v>
      </c>
      <c r="AG45" s="49">
        <f t="shared" si="4"/>
        <v>0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3:48" ht="12.75">
      <c r="W46" s="35"/>
      <c r="X46" s="35"/>
      <c r="Y46" s="35"/>
      <c r="Z46" s="35"/>
      <c r="AA46" s="35">
        <v>23</v>
      </c>
      <c r="AB46" s="35">
        <v>23</v>
      </c>
      <c r="AC46" s="65">
        <f t="shared" si="0"/>
        <v>0</v>
      </c>
      <c r="AD46" s="64">
        <f t="shared" si="1"/>
        <v>1</v>
      </c>
      <c r="AE46" s="48">
        <f t="shared" si="2"/>
        <v>1.3619978928745457E-05</v>
      </c>
      <c r="AF46" s="48">
        <f t="shared" si="3"/>
        <v>4.271225392054574E-05</v>
      </c>
      <c r="AG46" s="49">
        <f t="shared" si="4"/>
        <v>0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3:48" ht="12.75">
      <c r="W47" s="35"/>
      <c r="X47" s="35"/>
      <c r="Y47" s="35"/>
      <c r="Z47" s="35"/>
      <c r="AA47" s="35">
        <v>24</v>
      </c>
      <c r="AB47" s="35">
        <v>24</v>
      </c>
      <c r="AC47" s="65">
        <f t="shared" si="0"/>
        <v>0</v>
      </c>
      <c r="AD47" s="64">
        <f t="shared" si="1"/>
        <v>1</v>
      </c>
      <c r="AE47" s="48">
        <f t="shared" si="2"/>
        <v>1.3619978928745457E-05</v>
      </c>
      <c r="AF47" s="48">
        <f t="shared" si="3"/>
        <v>4.271225392054574E-05</v>
      </c>
      <c r="AG47" s="49">
        <f t="shared" si="4"/>
        <v>0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23:48" ht="12.75">
      <c r="W48" s="35"/>
      <c r="X48" s="35"/>
      <c r="Y48" s="35"/>
      <c r="Z48" s="35"/>
      <c r="AA48" s="35">
        <v>25</v>
      </c>
      <c r="AB48" s="35">
        <v>25</v>
      </c>
      <c r="AC48" s="65">
        <f t="shared" si="0"/>
        <v>0</v>
      </c>
      <c r="AD48" s="64">
        <f t="shared" si="1"/>
        <v>1</v>
      </c>
      <c r="AE48" s="48">
        <f t="shared" si="2"/>
        <v>1.3619978928745457E-05</v>
      </c>
      <c r="AF48" s="48">
        <f t="shared" si="3"/>
        <v>4.271225392054574E-05</v>
      </c>
      <c r="AG48" s="49">
        <f t="shared" si="4"/>
        <v>0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3:48" ht="12.75">
      <c r="W49" s="35"/>
      <c r="X49" s="35"/>
      <c r="Y49" s="35"/>
      <c r="Z49" s="35"/>
      <c r="AA49" s="35">
        <v>26</v>
      </c>
      <c r="AB49" s="35">
        <v>26</v>
      </c>
      <c r="AC49" s="65">
        <f t="shared" si="0"/>
        <v>0</v>
      </c>
      <c r="AD49" s="64">
        <f t="shared" si="1"/>
        <v>1</v>
      </c>
      <c r="AE49" s="48">
        <f t="shared" si="2"/>
        <v>1.3619978928745457E-05</v>
      </c>
      <c r="AF49" s="48">
        <f t="shared" si="3"/>
        <v>4.271225392054574E-05</v>
      </c>
      <c r="AG49" s="49">
        <f t="shared" si="4"/>
        <v>0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3:48" ht="12.75">
      <c r="W50" s="35"/>
      <c r="X50" s="35"/>
      <c r="Y50" s="35"/>
      <c r="Z50" s="35"/>
      <c r="AA50" s="35">
        <v>27</v>
      </c>
      <c r="AB50" s="35">
        <v>27</v>
      </c>
      <c r="AC50" s="65">
        <f t="shared" si="0"/>
        <v>0</v>
      </c>
      <c r="AD50" s="64">
        <f t="shared" si="1"/>
        <v>1</v>
      </c>
      <c r="AE50" s="48">
        <f t="shared" si="2"/>
        <v>1.3619978928745457E-05</v>
      </c>
      <c r="AF50" s="48">
        <f t="shared" si="3"/>
        <v>4.271225392054574E-05</v>
      </c>
      <c r="AG50" s="49">
        <f t="shared" si="4"/>
        <v>0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3:48" ht="12.75">
      <c r="W51" s="35"/>
      <c r="X51" s="35"/>
      <c r="Y51" s="35"/>
      <c r="Z51" s="35"/>
      <c r="AA51" s="35">
        <v>28</v>
      </c>
      <c r="AB51" s="35">
        <v>28</v>
      </c>
      <c r="AC51" s="65">
        <f t="shared" si="0"/>
        <v>0</v>
      </c>
      <c r="AD51" s="64">
        <f t="shared" si="1"/>
        <v>1</v>
      </c>
      <c r="AE51" s="48">
        <f t="shared" si="2"/>
        <v>1.3619978928745457E-05</v>
      </c>
      <c r="AF51" s="48">
        <f t="shared" si="3"/>
        <v>4.271225392054574E-05</v>
      </c>
      <c r="AG51" s="49">
        <f t="shared" si="4"/>
        <v>0</v>
      </c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3:48" ht="12.75">
      <c r="W52" s="35"/>
      <c r="X52" s="35"/>
      <c r="Y52" s="35"/>
      <c r="Z52" s="35"/>
      <c r="AA52" s="35">
        <v>29</v>
      </c>
      <c r="AB52" s="35">
        <v>29</v>
      </c>
      <c r="AC52" s="65">
        <f t="shared" si="0"/>
        <v>0</v>
      </c>
      <c r="AD52" s="64">
        <f t="shared" si="1"/>
        <v>1</v>
      </c>
      <c r="AE52" s="48">
        <f t="shared" si="2"/>
        <v>1.3619978928745457E-05</v>
      </c>
      <c r="AF52" s="48">
        <f t="shared" si="3"/>
        <v>4.271225392054574E-05</v>
      </c>
      <c r="AG52" s="49">
        <f t="shared" si="4"/>
        <v>0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3:48" ht="12.75">
      <c r="W53" s="35"/>
      <c r="X53" s="35"/>
      <c r="Y53" s="35"/>
      <c r="Z53" s="35"/>
      <c r="AA53" s="35">
        <v>30</v>
      </c>
      <c r="AB53" s="35">
        <v>30</v>
      </c>
      <c r="AC53" s="65">
        <f t="shared" si="0"/>
        <v>0</v>
      </c>
      <c r="AD53" s="64">
        <f t="shared" si="1"/>
        <v>1</v>
      </c>
      <c r="AE53" s="48">
        <f t="shared" si="2"/>
        <v>1.3619978928745457E-05</v>
      </c>
      <c r="AF53" s="48">
        <f t="shared" si="3"/>
        <v>4.271225392054574E-05</v>
      </c>
      <c r="AG53" s="49">
        <f t="shared" si="4"/>
        <v>0</v>
      </c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3:48" ht="12.75">
      <c r="W54" s="35"/>
      <c r="X54" s="35"/>
      <c r="Y54" s="35"/>
      <c r="Z54" s="35"/>
      <c r="AA54" s="35">
        <v>31</v>
      </c>
      <c r="AB54" s="35">
        <v>31</v>
      </c>
      <c r="AC54" s="65">
        <f t="shared" si="0"/>
        <v>0</v>
      </c>
      <c r="AD54" s="64">
        <f t="shared" si="1"/>
        <v>1</v>
      </c>
      <c r="AE54" s="48">
        <f t="shared" si="2"/>
        <v>1.3619978928745457E-05</v>
      </c>
      <c r="AF54" s="48">
        <f t="shared" si="3"/>
        <v>4.271225392054574E-05</v>
      </c>
      <c r="AG54" s="49">
        <f t="shared" si="4"/>
        <v>0</v>
      </c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3:48" ht="12.75">
      <c r="W55" s="35"/>
      <c r="X55" s="35"/>
      <c r="Y55" s="35"/>
      <c r="Z55" s="35"/>
      <c r="AA55" s="35">
        <v>32</v>
      </c>
      <c r="AB55" s="35">
        <v>32</v>
      </c>
      <c r="AC55" s="65">
        <f t="shared" si="0"/>
        <v>0</v>
      </c>
      <c r="AD55" s="64">
        <f t="shared" si="1"/>
        <v>1</v>
      </c>
      <c r="AE55" s="48">
        <f t="shared" si="2"/>
        <v>1.3619978928745457E-05</v>
      </c>
      <c r="AF55" s="48">
        <f t="shared" si="3"/>
        <v>4.271225392054574E-05</v>
      </c>
      <c r="AG55" s="49">
        <f t="shared" si="4"/>
        <v>0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3:48" ht="12.75">
      <c r="W56" s="35"/>
      <c r="X56" s="35"/>
      <c r="Y56" s="35"/>
      <c r="Z56" s="35"/>
      <c r="AA56" s="35">
        <v>33</v>
      </c>
      <c r="AB56" s="35">
        <v>33</v>
      </c>
      <c r="AC56" s="65">
        <f t="shared" si="0"/>
        <v>0</v>
      </c>
      <c r="AD56" s="64">
        <f t="shared" si="1"/>
        <v>1</v>
      </c>
      <c r="AE56" s="48">
        <f t="shared" si="2"/>
        <v>1.3619978928745457E-05</v>
      </c>
      <c r="AF56" s="48">
        <f t="shared" si="3"/>
        <v>4.271225392054574E-05</v>
      </c>
      <c r="AG56" s="49">
        <f t="shared" si="4"/>
        <v>0</v>
      </c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3:48" ht="12.75">
      <c r="W57" s="35"/>
      <c r="X57" s="35"/>
      <c r="Y57" s="35"/>
      <c r="Z57" s="35"/>
      <c r="AA57" s="35">
        <v>34</v>
      </c>
      <c r="AB57" s="35">
        <v>34</v>
      </c>
      <c r="AC57" s="65">
        <f t="shared" si="0"/>
        <v>0</v>
      </c>
      <c r="AD57" s="64">
        <f t="shared" si="1"/>
        <v>1</v>
      </c>
      <c r="AE57" s="48">
        <f t="shared" si="2"/>
        <v>1.3619978928745457E-05</v>
      </c>
      <c r="AF57" s="48">
        <f t="shared" si="3"/>
        <v>4.271225392054574E-05</v>
      </c>
      <c r="AG57" s="49">
        <f t="shared" si="4"/>
        <v>0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3:48" ht="12.75">
      <c r="W58" s="35"/>
      <c r="X58" s="35"/>
      <c r="Y58" s="35"/>
      <c r="Z58" s="35"/>
      <c r="AA58" s="35">
        <v>35</v>
      </c>
      <c r="AB58" s="35">
        <v>35</v>
      </c>
      <c r="AC58" s="65">
        <f t="shared" si="0"/>
        <v>0</v>
      </c>
      <c r="AD58" s="64">
        <f t="shared" si="1"/>
        <v>1</v>
      </c>
      <c r="AE58" s="48">
        <f t="shared" si="2"/>
        <v>1.3619978928745457E-05</v>
      </c>
      <c r="AF58" s="48">
        <f t="shared" si="3"/>
        <v>4.271225392054574E-05</v>
      </c>
      <c r="AG58" s="49">
        <f t="shared" si="4"/>
        <v>0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3:48" ht="12.75">
      <c r="W59" s="35"/>
      <c r="X59" s="35"/>
      <c r="Y59" s="35"/>
      <c r="Z59" s="35"/>
      <c r="AA59" s="35">
        <v>36</v>
      </c>
      <c r="AB59" s="35">
        <v>36</v>
      </c>
      <c r="AC59" s="65">
        <f t="shared" si="0"/>
        <v>0</v>
      </c>
      <c r="AD59" s="64">
        <f t="shared" si="1"/>
        <v>1</v>
      </c>
      <c r="AE59" s="48">
        <f t="shared" si="2"/>
        <v>1.3619978928745457E-05</v>
      </c>
      <c r="AF59" s="48">
        <f t="shared" si="3"/>
        <v>4.271225392054574E-05</v>
      </c>
      <c r="AG59" s="49">
        <f t="shared" si="4"/>
        <v>0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23:48" ht="12.75">
      <c r="W60" s="35"/>
      <c r="X60" s="35"/>
      <c r="Y60" s="35"/>
      <c r="Z60" s="35"/>
      <c r="AA60" s="35">
        <v>37</v>
      </c>
      <c r="AB60" s="35">
        <v>37</v>
      </c>
      <c r="AC60" s="65">
        <f t="shared" si="0"/>
        <v>0</v>
      </c>
      <c r="AD60" s="64">
        <f t="shared" si="1"/>
        <v>1</v>
      </c>
      <c r="AE60" s="48">
        <f t="shared" si="2"/>
        <v>1.3619978928745457E-05</v>
      </c>
      <c r="AF60" s="48">
        <f t="shared" si="3"/>
        <v>4.271225392054574E-05</v>
      </c>
      <c r="AG60" s="49">
        <f t="shared" si="4"/>
        <v>0</v>
      </c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23:48" ht="12.75">
      <c r="W61" s="35"/>
      <c r="X61" s="35"/>
      <c r="Y61" s="35"/>
      <c r="Z61" s="35"/>
      <c r="AA61" s="35">
        <v>38</v>
      </c>
      <c r="AB61" s="35">
        <v>38</v>
      </c>
      <c r="AC61" s="65">
        <f t="shared" si="0"/>
        <v>0</v>
      </c>
      <c r="AD61" s="64">
        <f t="shared" si="1"/>
        <v>1</v>
      </c>
      <c r="AE61" s="48">
        <f t="shared" si="2"/>
        <v>1.3619978928745457E-05</v>
      </c>
      <c r="AF61" s="48">
        <f t="shared" si="3"/>
        <v>4.271225392054574E-05</v>
      </c>
      <c r="AG61" s="49">
        <f t="shared" si="4"/>
        <v>0</v>
      </c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23:48" ht="12.75">
      <c r="W62" s="35"/>
      <c r="X62" s="35"/>
      <c r="Y62" s="35"/>
      <c r="Z62" s="35"/>
      <c r="AA62" s="35">
        <v>39</v>
      </c>
      <c r="AB62" s="35">
        <v>39</v>
      </c>
      <c r="AC62" s="65">
        <f t="shared" si="0"/>
        <v>0</v>
      </c>
      <c r="AD62" s="64">
        <f t="shared" si="1"/>
        <v>1</v>
      </c>
      <c r="AE62" s="48">
        <f t="shared" si="2"/>
        <v>1.3619978928745457E-05</v>
      </c>
      <c r="AF62" s="48">
        <f t="shared" si="3"/>
        <v>4.271225392054574E-05</v>
      </c>
      <c r="AG62" s="49">
        <f t="shared" si="4"/>
        <v>0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23:48" ht="12.75">
      <c r="W63" s="35"/>
      <c r="X63" s="35"/>
      <c r="Y63" s="35"/>
      <c r="Z63" s="35"/>
      <c r="AA63" s="35">
        <v>40</v>
      </c>
      <c r="AB63" s="35">
        <v>40</v>
      </c>
      <c r="AC63" s="65">
        <f t="shared" si="0"/>
        <v>0</v>
      </c>
      <c r="AD63" s="64">
        <f t="shared" si="1"/>
        <v>1</v>
      </c>
      <c r="AE63" s="48">
        <f t="shared" si="2"/>
        <v>1.3619978928745457E-05</v>
      </c>
      <c r="AF63" s="48">
        <f t="shared" si="3"/>
        <v>4.271225392054574E-05</v>
      </c>
      <c r="AG63" s="49">
        <f t="shared" si="4"/>
        <v>0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23:48" ht="12.75">
      <c r="W64" s="35"/>
      <c r="X64" s="35"/>
      <c r="Y64" s="35"/>
      <c r="Z64" s="35"/>
      <c r="AA64" s="35">
        <v>41</v>
      </c>
      <c r="AB64" s="35">
        <v>41</v>
      </c>
      <c r="AC64" s="65">
        <f t="shared" si="0"/>
        <v>0</v>
      </c>
      <c r="AD64" s="64">
        <f t="shared" si="1"/>
        <v>1</v>
      </c>
      <c r="AE64" s="48">
        <f t="shared" si="2"/>
        <v>1.3619978928745457E-05</v>
      </c>
      <c r="AF64" s="48">
        <f t="shared" si="3"/>
        <v>4.271225392054574E-05</v>
      </c>
      <c r="AG64" s="49">
        <f t="shared" si="4"/>
        <v>0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23:48" ht="12.75">
      <c r="W65" s="35"/>
      <c r="X65" s="35"/>
      <c r="Y65" s="35"/>
      <c r="Z65" s="35"/>
      <c r="AA65" s="35">
        <v>42</v>
      </c>
      <c r="AB65" s="35">
        <v>42</v>
      </c>
      <c r="AC65" s="65">
        <f t="shared" si="0"/>
        <v>0</v>
      </c>
      <c r="AD65" s="64">
        <f t="shared" si="1"/>
        <v>1</v>
      </c>
      <c r="AE65" s="48">
        <f t="shared" si="2"/>
        <v>1.3619978928745457E-05</v>
      </c>
      <c r="AF65" s="48">
        <f t="shared" si="3"/>
        <v>4.271225392054574E-05</v>
      </c>
      <c r="AG65" s="49">
        <f t="shared" si="4"/>
        <v>0</v>
      </c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23:48" ht="12.75">
      <c r="W66" s="35"/>
      <c r="X66" s="35"/>
      <c r="Y66" s="35"/>
      <c r="Z66" s="35"/>
      <c r="AA66" s="35">
        <v>43</v>
      </c>
      <c r="AB66" s="35">
        <v>43</v>
      </c>
      <c r="AC66" s="65">
        <f t="shared" si="0"/>
        <v>0</v>
      </c>
      <c r="AD66" s="64">
        <f t="shared" si="1"/>
        <v>1</v>
      </c>
      <c r="AE66" s="48">
        <f t="shared" si="2"/>
        <v>1.3619978928745457E-05</v>
      </c>
      <c r="AF66" s="48">
        <f t="shared" si="3"/>
        <v>4.271225392054574E-05</v>
      </c>
      <c r="AG66" s="49">
        <f t="shared" si="4"/>
        <v>0</v>
      </c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23:48" ht="12.75">
      <c r="W67" s="35"/>
      <c r="X67" s="35"/>
      <c r="Y67" s="35"/>
      <c r="Z67" s="35"/>
      <c r="AA67" s="35">
        <v>44</v>
      </c>
      <c r="AB67" s="35">
        <v>44</v>
      </c>
      <c r="AC67" s="65">
        <f t="shared" si="0"/>
        <v>0</v>
      </c>
      <c r="AD67" s="64">
        <f t="shared" si="1"/>
        <v>1</v>
      </c>
      <c r="AE67" s="48">
        <f t="shared" si="2"/>
        <v>1.3619978928745457E-05</v>
      </c>
      <c r="AF67" s="48">
        <f t="shared" si="3"/>
        <v>4.271225392054574E-05</v>
      </c>
      <c r="AG67" s="49">
        <f t="shared" si="4"/>
        <v>0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23:48" ht="12.75">
      <c r="W68" s="35"/>
      <c r="X68" s="35"/>
      <c r="Y68" s="35"/>
      <c r="Z68" s="35"/>
      <c r="AA68" s="35">
        <v>45</v>
      </c>
      <c r="AB68" s="35">
        <v>45</v>
      </c>
      <c r="AC68" s="65">
        <f t="shared" si="0"/>
        <v>0</v>
      </c>
      <c r="AD68" s="64">
        <f t="shared" si="1"/>
        <v>1</v>
      </c>
      <c r="AE68" s="48">
        <f t="shared" si="2"/>
        <v>1.3619978928745457E-05</v>
      </c>
      <c r="AF68" s="48">
        <f t="shared" si="3"/>
        <v>4.271225392054574E-05</v>
      </c>
      <c r="AG68" s="49">
        <f t="shared" si="4"/>
        <v>0</v>
      </c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23:48" ht="12.75">
      <c r="W69" s="35"/>
      <c r="X69" s="35"/>
      <c r="Y69" s="35"/>
      <c r="Z69" s="35"/>
      <c r="AA69" s="35">
        <v>46</v>
      </c>
      <c r="AB69" s="35">
        <v>46</v>
      </c>
      <c r="AC69" s="65">
        <f t="shared" si="0"/>
        <v>0</v>
      </c>
      <c r="AD69" s="64">
        <f t="shared" si="1"/>
        <v>1</v>
      </c>
      <c r="AE69" s="48">
        <f t="shared" si="2"/>
        <v>1.3619978928745457E-05</v>
      </c>
      <c r="AF69" s="48">
        <f t="shared" si="3"/>
        <v>4.271225392054574E-05</v>
      </c>
      <c r="AG69" s="49">
        <f t="shared" si="4"/>
        <v>0</v>
      </c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23:48" ht="12.75">
      <c r="W70" s="35"/>
      <c r="X70" s="35"/>
      <c r="Y70" s="35"/>
      <c r="Z70" s="35"/>
      <c r="AA70" s="35">
        <v>47</v>
      </c>
      <c r="AB70" s="35">
        <v>47</v>
      </c>
      <c r="AC70" s="65">
        <f t="shared" si="0"/>
        <v>0</v>
      </c>
      <c r="AD70" s="64">
        <f t="shared" si="1"/>
        <v>1</v>
      </c>
      <c r="AE70" s="48">
        <f t="shared" si="2"/>
        <v>1.3619978928745457E-05</v>
      </c>
      <c r="AF70" s="48">
        <f t="shared" si="3"/>
        <v>4.271225392054574E-05</v>
      </c>
      <c r="AG70" s="49">
        <f t="shared" si="4"/>
        <v>0</v>
      </c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23:48" ht="12.75">
      <c r="W71" s="35"/>
      <c r="X71" s="35"/>
      <c r="Y71" s="35"/>
      <c r="Z71" s="35"/>
      <c r="AA71" s="35">
        <v>48</v>
      </c>
      <c r="AB71" s="35">
        <v>48</v>
      </c>
      <c r="AC71" s="65">
        <f t="shared" si="0"/>
        <v>0</v>
      </c>
      <c r="AD71" s="64">
        <f t="shared" si="1"/>
        <v>1</v>
      </c>
      <c r="AE71" s="48">
        <f t="shared" si="2"/>
        <v>1.3619978928745457E-05</v>
      </c>
      <c r="AF71" s="48">
        <f t="shared" si="3"/>
        <v>4.271225392054574E-05</v>
      </c>
      <c r="AG71" s="49">
        <f t="shared" si="4"/>
        <v>0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23:48" ht="12.75">
      <c r="W72" s="35"/>
      <c r="X72" s="35"/>
      <c r="Y72" s="35"/>
      <c r="Z72" s="35"/>
      <c r="AA72" s="35">
        <v>49</v>
      </c>
      <c r="AB72" s="35">
        <v>49</v>
      </c>
      <c r="AC72" s="65">
        <f t="shared" si="0"/>
        <v>0</v>
      </c>
      <c r="AD72" s="64">
        <f t="shared" si="1"/>
        <v>1</v>
      </c>
      <c r="AE72" s="48">
        <f t="shared" si="2"/>
        <v>1.3619978928745457E-05</v>
      </c>
      <c r="AF72" s="48">
        <f t="shared" si="3"/>
        <v>4.271225392054574E-05</v>
      </c>
      <c r="AG72" s="49">
        <f t="shared" si="4"/>
        <v>0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23:48" ht="12.75">
      <c r="W73" s="35"/>
      <c r="X73" s="35"/>
      <c r="Y73" s="35"/>
      <c r="Z73" s="35"/>
      <c r="AA73" s="35">
        <v>50</v>
      </c>
      <c r="AB73" s="35">
        <v>50</v>
      </c>
      <c r="AC73" s="65">
        <f t="shared" si="0"/>
        <v>0</v>
      </c>
      <c r="AD73" s="64">
        <f t="shared" si="1"/>
        <v>1</v>
      </c>
      <c r="AE73" s="48">
        <f t="shared" si="2"/>
        <v>1.3619978928745457E-05</v>
      </c>
      <c r="AF73" s="48">
        <f t="shared" si="3"/>
        <v>4.271225392054574E-05</v>
      </c>
      <c r="AG73" s="49">
        <f t="shared" si="4"/>
        <v>0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23:48" ht="12.75">
      <c r="W74" s="35"/>
      <c r="X74" s="35"/>
      <c r="Y74" s="35"/>
      <c r="Z74" s="35"/>
      <c r="AA74" s="35">
        <v>51</v>
      </c>
      <c r="AB74" s="35">
        <v>51</v>
      </c>
      <c r="AC74" s="65">
        <f t="shared" si="0"/>
        <v>0</v>
      </c>
      <c r="AD74" s="64">
        <f t="shared" si="1"/>
        <v>1</v>
      </c>
      <c r="AE74" s="48">
        <f t="shared" si="2"/>
        <v>1.3619978928745457E-05</v>
      </c>
      <c r="AF74" s="48">
        <f t="shared" si="3"/>
        <v>4.271225392054574E-05</v>
      </c>
      <c r="AG74" s="49">
        <f t="shared" si="4"/>
        <v>0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23:48" ht="12.75">
      <c r="W75" s="35"/>
      <c r="X75" s="35"/>
      <c r="Y75" s="35"/>
      <c r="Z75" s="35"/>
      <c r="AA75" s="35">
        <v>52</v>
      </c>
      <c r="AB75" s="35">
        <v>52</v>
      </c>
      <c r="AC75" s="65">
        <f t="shared" si="0"/>
        <v>0</v>
      </c>
      <c r="AD75" s="64">
        <f t="shared" si="1"/>
        <v>1</v>
      </c>
      <c r="AE75" s="48">
        <f t="shared" si="2"/>
        <v>1.3619978928745457E-05</v>
      </c>
      <c r="AF75" s="48">
        <f t="shared" si="3"/>
        <v>4.271225392054574E-05</v>
      </c>
      <c r="AG75" s="49">
        <f t="shared" si="4"/>
        <v>0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23:48" ht="12.75">
      <c r="W76" s="35"/>
      <c r="X76" s="35"/>
      <c r="Y76" s="35"/>
      <c r="Z76" s="35"/>
      <c r="AA76" s="35">
        <v>53</v>
      </c>
      <c r="AB76" s="35">
        <v>53</v>
      </c>
      <c r="AC76" s="65">
        <f t="shared" si="0"/>
        <v>0</v>
      </c>
      <c r="AD76" s="64">
        <f t="shared" si="1"/>
        <v>1</v>
      </c>
      <c r="AE76" s="48">
        <f t="shared" si="2"/>
        <v>1.3619978928745457E-05</v>
      </c>
      <c r="AF76" s="48">
        <f t="shared" si="3"/>
        <v>4.271225392054574E-05</v>
      </c>
      <c r="AG76" s="49">
        <f t="shared" si="4"/>
        <v>0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23:48" ht="12.75">
      <c r="W77" s="35"/>
      <c r="X77" s="35"/>
      <c r="Y77" s="35"/>
      <c r="Z77" s="35"/>
      <c r="AA77" s="35">
        <v>54</v>
      </c>
      <c r="AB77" s="35">
        <v>54</v>
      </c>
      <c r="AC77" s="65">
        <f t="shared" si="0"/>
        <v>0</v>
      </c>
      <c r="AD77" s="64">
        <f t="shared" si="1"/>
        <v>1</v>
      </c>
      <c r="AE77" s="48">
        <f t="shared" si="2"/>
        <v>1.3619978928745457E-05</v>
      </c>
      <c r="AF77" s="48">
        <f t="shared" si="3"/>
        <v>4.271225392054574E-05</v>
      </c>
      <c r="AG77" s="49">
        <f t="shared" si="4"/>
        <v>0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3:48" ht="12.75">
      <c r="W78" s="35"/>
      <c r="X78" s="35"/>
      <c r="Y78" s="35"/>
      <c r="Z78" s="35"/>
      <c r="AA78" s="35">
        <v>55</v>
      </c>
      <c r="AB78" s="35">
        <v>55</v>
      </c>
      <c r="AC78" s="65">
        <f t="shared" si="0"/>
        <v>0</v>
      </c>
      <c r="AD78" s="64">
        <f t="shared" si="1"/>
        <v>1</v>
      </c>
      <c r="AE78" s="48">
        <f t="shared" si="2"/>
        <v>1.3619978928745457E-05</v>
      </c>
      <c r="AF78" s="48">
        <f t="shared" si="3"/>
        <v>4.271225392054574E-05</v>
      </c>
      <c r="AG78" s="49">
        <f t="shared" si="4"/>
        <v>0</v>
      </c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23:48" ht="12.75">
      <c r="W79" s="35"/>
      <c r="X79" s="35"/>
      <c r="Y79" s="35"/>
      <c r="Z79" s="35"/>
      <c r="AA79" s="35">
        <v>56</v>
      </c>
      <c r="AB79" s="35">
        <v>56</v>
      </c>
      <c r="AC79" s="65">
        <f t="shared" si="0"/>
        <v>0</v>
      </c>
      <c r="AD79" s="64">
        <f t="shared" si="1"/>
        <v>1</v>
      </c>
      <c r="AE79" s="48">
        <f t="shared" si="2"/>
        <v>1.3619978928745457E-05</v>
      </c>
      <c r="AF79" s="48">
        <f t="shared" si="3"/>
        <v>4.271225392054574E-05</v>
      </c>
      <c r="AG79" s="49">
        <f t="shared" si="4"/>
        <v>0</v>
      </c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23:48" ht="12.75">
      <c r="W80" s="35"/>
      <c r="X80" s="35"/>
      <c r="Y80" s="35"/>
      <c r="Z80" s="35"/>
      <c r="AA80" s="35">
        <v>57</v>
      </c>
      <c r="AB80" s="35">
        <v>57</v>
      </c>
      <c r="AC80" s="65">
        <f t="shared" si="0"/>
        <v>0</v>
      </c>
      <c r="AD80" s="64">
        <f t="shared" si="1"/>
        <v>1</v>
      </c>
      <c r="AE80" s="48">
        <f t="shared" si="2"/>
        <v>1.3619978928745457E-05</v>
      </c>
      <c r="AF80" s="48">
        <f t="shared" si="3"/>
        <v>4.271225392054574E-05</v>
      </c>
      <c r="AG80" s="49">
        <f t="shared" si="4"/>
        <v>0</v>
      </c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23:48" ht="12.75">
      <c r="W81" s="35"/>
      <c r="X81" s="35"/>
      <c r="Y81" s="35"/>
      <c r="Z81" s="35"/>
      <c r="AA81" s="35">
        <v>58</v>
      </c>
      <c r="AB81" s="35">
        <v>58</v>
      </c>
      <c r="AC81" s="65">
        <f t="shared" si="0"/>
        <v>0</v>
      </c>
      <c r="AD81" s="64">
        <f t="shared" si="1"/>
        <v>1</v>
      </c>
      <c r="AE81" s="48">
        <f t="shared" si="2"/>
        <v>1.3619978928745457E-05</v>
      </c>
      <c r="AF81" s="48">
        <f t="shared" si="3"/>
        <v>4.271225392054574E-05</v>
      </c>
      <c r="AG81" s="49">
        <f t="shared" si="4"/>
        <v>0</v>
      </c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23:48" ht="12.75">
      <c r="W82" s="35"/>
      <c r="X82" s="35"/>
      <c r="Y82" s="35"/>
      <c r="Z82" s="35"/>
      <c r="AA82" s="35">
        <v>59</v>
      </c>
      <c r="AB82" s="35">
        <v>59</v>
      </c>
      <c r="AC82" s="65">
        <f t="shared" si="0"/>
        <v>0</v>
      </c>
      <c r="AD82" s="64">
        <f t="shared" si="1"/>
        <v>1</v>
      </c>
      <c r="AE82" s="48">
        <f t="shared" si="2"/>
        <v>1.3619978928745457E-05</v>
      </c>
      <c r="AF82" s="48">
        <f t="shared" si="3"/>
        <v>4.271225392054574E-05</v>
      </c>
      <c r="AG82" s="49">
        <f t="shared" si="4"/>
        <v>0</v>
      </c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23:48" ht="12.75">
      <c r="W83" s="35"/>
      <c r="X83" s="35"/>
      <c r="Y83" s="35"/>
      <c r="Z83" s="35"/>
      <c r="AA83" s="35">
        <v>60</v>
      </c>
      <c r="AB83" s="35">
        <v>60</v>
      </c>
      <c r="AC83" s="65">
        <f t="shared" si="0"/>
        <v>0</v>
      </c>
      <c r="AD83" s="64">
        <f t="shared" si="1"/>
        <v>1</v>
      </c>
      <c r="AE83" s="48">
        <f t="shared" si="2"/>
        <v>1.3619978928745457E-05</v>
      </c>
      <c r="AF83" s="48">
        <f t="shared" si="3"/>
        <v>4.271225392054574E-05</v>
      </c>
      <c r="AG83" s="49">
        <f t="shared" si="4"/>
        <v>0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23:48" ht="12.75">
      <c r="W84" s="35"/>
      <c r="X84" s="35"/>
      <c r="Y84" s="35"/>
      <c r="Z84" s="35"/>
      <c r="AA84" s="35">
        <v>61</v>
      </c>
      <c r="AB84" s="35">
        <v>61</v>
      </c>
      <c r="AC84" s="65">
        <f t="shared" si="0"/>
        <v>0</v>
      </c>
      <c r="AD84" s="64">
        <f t="shared" si="1"/>
        <v>1</v>
      </c>
      <c r="AE84" s="48">
        <f t="shared" si="2"/>
        <v>1.3619978928745457E-05</v>
      </c>
      <c r="AF84" s="48">
        <f t="shared" si="3"/>
        <v>4.271225392054574E-05</v>
      </c>
      <c r="AG84" s="49">
        <f t="shared" si="4"/>
        <v>0</v>
      </c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23:48" ht="12.75">
      <c r="W85" s="35"/>
      <c r="X85" s="35"/>
      <c r="Y85" s="35"/>
      <c r="Z85" s="35"/>
      <c r="AA85" s="35">
        <v>62</v>
      </c>
      <c r="AB85" s="35">
        <v>62</v>
      </c>
      <c r="AC85" s="65">
        <f t="shared" si="0"/>
        <v>0</v>
      </c>
      <c r="AD85" s="64">
        <f t="shared" si="1"/>
        <v>1</v>
      </c>
      <c r="AE85" s="48">
        <f t="shared" si="2"/>
        <v>1.3619978928745457E-05</v>
      </c>
      <c r="AF85" s="48">
        <f t="shared" si="3"/>
        <v>4.271225392054574E-05</v>
      </c>
      <c r="AG85" s="49">
        <f t="shared" si="4"/>
        <v>0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</row>
    <row r="86" spans="23:48" ht="12.75">
      <c r="W86" s="35"/>
      <c r="X86" s="35"/>
      <c r="Y86" s="35"/>
      <c r="Z86" s="35"/>
      <c r="AA86" s="35">
        <v>63</v>
      </c>
      <c r="AB86" s="35">
        <v>63</v>
      </c>
      <c r="AC86" s="65">
        <f t="shared" si="0"/>
        <v>0</v>
      </c>
      <c r="AD86" s="64">
        <f t="shared" si="1"/>
        <v>1</v>
      </c>
      <c r="AE86" s="48">
        <f t="shared" si="2"/>
        <v>1.3619978928745457E-05</v>
      </c>
      <c r="AF86" s="48">
        <f t="shared" si="3"/>
        <v>4.271225392054574E-05</v>
      </c>
      <c r="AG86" s="49">
        <f t="shared" si="4"/>
        <v>0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23:48" ht="12.75">
      <c r="W87" s="35"/>
      <c r="X87" s="35"/>
      <c r="Y87" s="35"/>
      <c r="Z87" s="35"/>
      <c r="AA87" s="35">
        <v>64</v>
      </c>
      <c r="AB87" s="35">
        <v>64</v>
      </c>
      <c r="AC87" s="65">
        <f t="shared" si="0"/>
        <v>0</v>
      </c>
      <c r="AD87" s="64">
        <f t="shared" si="1"/>
        <v>1</v>
      </c>
      <c r="AE87" s="48">
        <f t="shared" si="2"/>
        <v>1.3619978928745457E-05</v>
      </c>
      <c r="AF87" s="48">
        <f t="shared" si="3"/>
        <v>4.271225392054574E-05</v>
      </c>
      <c r="AG87" s="49">
        <f t="shared" si="4"/>
        <v>0</v>
      </c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23:48" ht="12.75">
      <c r="W88" s="35"/>
      <c r="X88" s="35"/>
      <c r="Y88" s="35"/>
      <c r="Z88" s="35"/>
      <c r="AA88" s="35">
        <v>65</v>
      </c>
      <c r="AB88" s="35">
        <v>65</v>
      </c>
      <c r="AC88" s="65">
        <f aca="true" t="shared" si="5" ref="AC88:AC151">MIN(AB88*$AC$21,$BA$12)</f>
        <v>0</v>
      </c>
      <c r="AD88" s="64">
        <f aca="true" t="shared" si="6" ref="AD88:AD151">$AC$18-0.5*9.81*AC88^2</f>
        <v>1</v>
      </c>
      <c r="AE88" s="48">
        <f aca="true" t="shared" si="7" ref="AE88:AE151">$AC$11*EXP(-$AC$13*(AD88)^2)</f>
        <v>1.3619978928745457E-05</v>
      </c>
      <c r="AF88" s="48">
        <f aca="true" t="shared" si="8" ref="AF88:AF151">IF($Z$25=FALSE,AE88*$AC$7*1000,-AE88*$AC$7*1000)</f>
        <v>4.271225392054574E-05</v>
      </c>
      <c r="AG88" s="49">
        <f t="shared" si="4"/>
        <v>0</v>
      </c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23:48" ht="12.75">
      <c r="W89" s="35"/>
      <c r="X89" s="35"/>
      <c r="Y89" s="35"/>
      <c r="Z89" s="35"/>
      <c r="AA89" s="35">
        <v>66</v>
      </c>
      <c r="AB89" s="35">
        <v>66</v>
      </c>
      <c r="AC89" s="65">
        <f t="shared" si="5"/>
        <v>0</v>
      </c>
      <c r="AD89" s="64">
        <f t="shared" si="6"/>
        <v>1</v>
      </c>
      <c r="AE89" s="48">
        <f t="shared" si="7"/>
        <v>1.3619978928745457E-05</v>
      </c>
      <c r="AF89" s="48">
        <f t="shared" si="8"/>
        <v>4.271225392054574E-05</v>
      </c>
      <c r="AG89" s="49">
        <f t="shared" si="4"/>
        <v>0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23:48" ht="12.75">
      <c r="W90" s="35"/>
      <c r="X90" s="35"/>
      <c r="Y90" s="35"/>
      <c r="Z90" s="35"/>
      <c r="AA90" s="35">
        <v>67</v>
      </c>
      <c r="AB90" s="35">
        <v>67</v>
      </c>
      <c r="AC90" s="65">
        <f t="shared" si="5"/>
        <v>0</v>
      </c>
      <c r="AD90" s="64">
        <f t="shared" si="6"/>
        <v>1</v>
      </c>
      <c r="AE90" s="48">
        <f t="shared" si="7"/>
        <v>1.3619978928745457E-05</v>
      </c>
      <c r="AF90" s="48">
        <f t="shared" si="8"/>
        <v>4.271225392054574E-05</v>
      </c>
      <c r="AG90" s="49">
        <f aca="true" t="shared" si="9" ref="AG90:AG153">IF($Z$27=TRUE,IF(AC91=AC89,AG89,$AC$8*(AF91-AF89)/(AC91-AC89)/1000),100)</f>
        <v>0</v>
      </c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23:48" ht="12.75">
      <c r="W91" s="35"/>
      <c r="X91" s="35"/>
      <c r="Y91" s="35"/>
      <c r="Z91" s="35"/>
      <c r="AA91" s="35">
        <v>68</v>
      </c>
      <c r="AB91" s="35">
        <v>68</v>
      </c>
      <c r="AC91" s="65">
        <f t="shared" si="5"/>
        <v>0</v>
      </c>
      <c r="AD91" s="64">
        <f t="shared" si="6"/>
        <v>1</v>
      </c>
      <c r="AE91" s="48">
        <f t="shared" si="7"/>
        <v>1.3619978928745457E-05</v>
      </c>
      <c r="AF91" s="48">
        <f t="shared" si="8"/>
        <v>4.271225392054574E-05</v>
      </c>
      <c r="AG91" s="49">
        <f t="shared" si="9"/>
        <v>0</v>
      </c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23:48" ht="12.75">
      <c r="W92" s="35"/>
      <c r="X92" s="35"/>
      <c r="Y92" s="35"/>
      <c r="Z92" s="35"/>
      <c r="AA92" s="35">
        <v>69</v>
      </c>
      <c r="AB92" s="35">
        <v>69</v>
      </c>
      <c r="AC92" s="65">
        <f t="shared" si="5"/>
        <v>0</v>
      </c>
      <c r="AD92" s="64">
        <f t="shared" si="6"/>
        <v>1</v>
      </c>
      <c r="AE92" s="48">
        <f t="shared" si="7"/>
        <v>1.3619978928745457E-05</v>
      </c>
      <c r="AF92" s="48">
        <f t="shared" si="8"/>
        <v>4.271225392054574E-05</v>
      </c>
      <c r="AG92" s="49">
        <f t="shared" si="9"/>
        <v>0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3:48" ht="12.75">
      <c r="W93" s="35"/>
      <c r="X93" s="35"/>
      <c r="Y93" s="35"/>
      <c r="Z93" s="35"/>
      <c r="AA93" s="35">
        <v>70</v>
      </c>
      <c r="AB93" s="35">
        <v>70</v>
      </c>
      <c r="AC93" s="65">
        <f t="shared" si="5"/>
        <v>0</v>
      </c>
      <c r="AD93" s="64">
        <f t="shared" si="6"/>
        <v>1</v>
      </c>
      <c r="AE93" s="48">
        <f t="shared" si="7"/>
        <v>1.3619978928745457E-05</v>
      </c>
      <c r="AF93" s="48">
        <f t="shared" si="8"/>
        <v>4.271225392054574E-05</v>
      </c>
      <c r="AG93" s="49">
        <f t="shared" si="9"/>
        <v>0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3:48" ht="12.75">
      <c r="W94" s="35"/>
      <c r="X94" s="35"/>
      <c r="Y94" s="35"/>
      <c r="Z94" s="35"/>
      <c r="AA94" s="35">
        <v>71</v>
      </c>
      <c r="AB94" s="35">
        <v>71</v>
      </c>
      <c r="AC94" s="65">
        <f t="shared" si="5"/>
        <v>0</v>
      </c>
      <c r="AD94" s="64">
        <f t="shared" si="6"/>
        <v>1</v>
      </c>
      <c r="AE94" s="48">
        <f t="shared" si="7"/>
        <v>1.3619978928745457E-05</v>
      </c>
      <c r="AF94" s="48">
        <f t="shared" si="8"/>
        <v>4.271225392054574E-05</v>
      </c>
      <c r="AG94" s="49">
        <f t="shared" si="9"/>
        <v>0</v>
      </c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3:48" ht="12.75">
      <c r="W95" s="35"/>
      <c r="X95" s="35"/>
      <c r="Y95" s="35"/>
      <c r="Z95" s="35"/>
      <c r="AA95" s="35">
        <v>72</v>
      </c>
      <c r="AB95" s="35">
        <v>72</v>
      </c>
      <c r="AC95" s="65">
        <f t="shared" si="5"/>
        <v>0</v>
      </c>
      <c r="AD95" s="64">
        <f t="shared" si="6"/>
        <v>1</v>
      </c>
      <c r="AE95" s="48">
        <f t="shared" si="7"/>
        <v>1.3619978928745457E-05</v>
      </c>
      <c r="AF95" s="48">
        <f t="shared" si="8"/>
        <v>4.271225392054574E-05</v>
      </c>
      <c r="AG95" s="49">
        <f t="shared" si="9"/>
        <v>0</v>
      </c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3:48" ht="12.75">
      <c r="W96" s="35"/>
      <c r="X96" s="35"/>
      <c r="Y96" s="35"/>
      <c r="Z96" s="35"/>
      <c r="AA96" s="35">
        <v>73</v>
      </c>
      <c r="AB96" s="35">
        <v>73</v>
      </c>
      <c r="AC96" s="65">
        <f t="shared" si="5"/>
        <v>0</v>
      </c>
      <c r="AD96" s="64">
        <f t="shared" si="6"/>
        <v>1</v>
      </c>
      <c r="AE96" s="48">
        <f t="shared" si="7"/>
        <v>1.3619978928745457E-05</v>
      </c>
      <c r="AF96" s="48">
        <f t="shared" si="8"/>
        <v>4.271225392054574E-05</v>
      </c>
      <c r="AG96" s="49">
        <f t="shared" si="9"/>
        <v>0</v>
      </c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3:48" ht="12.75">
      <c r="W97" s="35"/>
      <c r="X97" s="35"/>
      <c r="Y97" s="35"/>
      <c r="Z97" s="35"/>
      <c r="AA97" s="35">
        <v>74</v>
      </c>
      <c r="AB97" s="35">
        <v>74</v>
      </c>
      <c r="AC97" s="65">
        <f t="shared" si="5"/>
        <v>0</v>
      </c>
      <c r="AD97" s="64">
        <f t="shared" si="6"/>
        <v>1</v>
      </c>
      <c r="AE97" s="48">
        <f t="shared" si="7"/>
        <v>1.3619978928745457E-05</v>
      </c>
      <c r="AF97" s="48">
        <f t="shared" si="8"/>
        <v>4.271225392054574E-05</v>
      </c>
      <c r="AG97" s="49">
        <f t="shared" si="9"/>
        <v>0</v>
      </c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3:48" ht="12.75">
      <c r="W98" s="35"/>
      <c r="X98" s="35"/>
      <c r="Y98" s="35"/>
      <c r="Z98" s="35"/>
      <c r="AA98" s="35">
        <v>75</v>
      </c>
      <c r="AB98" s="35">
        <v>75</v>
      </c>
      <c r="AC98" s="65">
        <f t="shared" si="5"/>
        <v>0</v>
      </c>
      <c r="AD98" s="64">
        <f t="shared" si="6"/>
        <v>1</v>
      </c>
      <c r="AE98" s="48">
        <f t="shared" si="7"/>
        <v>1.3619978928745457E-05</v>
      </c>
      <c r="AF98" s="48">
        <f t="shared" si="8"/>
        <v>4.271225392054574E-05</v>
      </c>
      <c r="AG98" s="49">
        <f t="shared" si="9"/>
        <v>0</v>
      </c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3:48" ht="12.75">
      <c r="W99" s="35"/>
      <c r="X99" s="35"/>
      <c r="Y99" s="35"/>
      <c r="Z99" s="35"/>
      <c r="AA99" s="35">
        <v>76</v>
      </c>
      <c r="AB99" s="35">
        <v>76</v>
      </c>
      <c r="AC99" s="65">
        <f t="shared" si="5"/>
        <v>0</v>
      </c>
      <c r="AD99" s="64">
        <f t="shared" si="6"/>
        <v>1</v>
      </c>
      <c r="AE99" s="48">
        <f t="shared" si="7"/>
        <v>1.3619978928745457E-05</v>
      </c>
      <c r="AF99" s="48">
        <f t="shared" si="8"/>
        <v>4.271225392054574E-05</v>
      </c>
      <c r="AG99" s="49">
        <f t="shared" si="9"/>
        <v>0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3:48" ht="12.75">
      <c r="W100" s="35"/>
      <c r="X100" s="35"/>
      <c r="Y100" s="35"/>
      <c r="Z100" s="35"/>
      <c r="AA100" s="35">
        <v>77</v>
      </c>
      <c r="AB100" s="35">
        <v>77</v>
      </c>
      <c r="AC100" s="65">
        <f t="shared" si="5"/>
        <v>0</v>
      </c>
      <c r="AD100" s="64">
        <f t="shared" si="6"/>
        <v>1</v>
      </c>
      <c r="AE100" s="48">
        <f t="shared" si="7"/>
        <v>1.3619978928745457E-05</v>
      </c>
      <c r="AF100" s="48">
        <f t="shared" si="8"/>
        <v>4.271225392054574E-05</v>
      </c>
      <c r="AG100" s="49">
        <f t="shared" si="9"/>
        <v>0</v>
      </c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3:48" ht="12.75">
      <c r="W101" s="35"/>
      <c r="X101" s="35"/>
      <c r="Y101" s="35"/>
      <c r="Z101" s="35"/>
      <c r="AA101" s="35">
        <v>78</v>
      </c>
      <c r="AB101" s="35">
        <v>78</v>
      </c>
      <c r="AC101" s="65">
        <f t="shared" si="5"/>
        <v>0</v>
      </c>
      <c r="AD101" s="64">
        <f t="shared" si="6"/>
        <v>1</v>
      </c>
      <c r="AE101" s="48">
        <f t="shared" si="7"/>
        <v>1.3619978928745457E-05</v>
      </c>
      <c r="AF101" s="48">
        <f t="shared" si="8"/>
        <v>4.271225392054574E-05</v>
      </c>
      <c r="AG101" s="49">
        <f t="shared" si="9"/>
        <v>0</v>
      </c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23:48" ht="12.75">
      <c r="W102" s="35"/>
      <c r="X102" s="35"/>
      <c r="Y102" s="35"/>
      <c r="Z102" s="35"/>
      <c r="AA102" s="35">
        <v>79</v>
      </c>
      <c r="AB102" s="35">
        <v>79</v>
      </c>
      <c r="AC102" s="65">
        <f t="shared" si="5"/>
        <v>0</v>
      </c>
      <c r="AD102" s="64">
        <f t="shared" si="6"/>
        <v>1</v>
      </c>
      <c r="AE102" s="48">
        <f t="shared" si="7"/>
        <v>1.3619978928745457E-05</v>
      </c>
      <c r="AF102" s="48">
        <f t="shared" si="8"/>
        <v>4.271225392054574E-05</v>
      </c>
      <c r="AG102" s="49">
        <f t="shared" si="9"/>
        <v>0</v>
      </c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23:48" ht="12.75">
      <c r="W103" s="35"/>
      <c r="X103" s="35"/>
      <c r="Y103" s="35"/>
      <c r="Z103" s="35"/>
      <c r="AA103" s="35">
        <v>80</v>
      </c>
      <c r="AB103" s="35">
        <v>80</v>
      </c>
      <c r="AC103" s="65">
        <f t="shared" si="5"/>
        <v>0</v>
      </c>
      <c r="AD103" s="64">
        <f t="shared" si="6"/>
        <v>1</v>
      </c>
      <c r="AE103" s="48">
        <f t="shared" si="7"/>
        <v>1.3619978928745457E-05</v>
      </c>
      <c r="AF103" s="48">
        <f t="shared" si="8"/>
        <v>4.271225392054574E-05</v>
      </c>
      <c r="AG103" s="49">
        <f t="shared" si="9"/>
        <v>0</v>
      </c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23:48" ht="12.75">
      <c r="W104" s="35"/>
      <c r="X104" s="35"/>
      <c r="Y104" s="35"/>
      <c r="Z104" s="35"/>
      <c r="AA104" s="35">
        <v>81</v>
      </c>
      <c r="AB104" s="35">
        <v>81</v>
      </c>
      <c r="AC104" s="65">
        <f t="shared" si="5"/>
        <v>0</v>
      </c>
      <c r="AD104" s="64">
        <f t="shared" si="6"/>
        <v>1</v>
      </c>
      <c r="AE104" s="48">
        <f t="shared" si="7"/>
        <v>1.3619978928745457E-05</v>
      </c>
      <c r="AF104" s="48">
        <f t="shared" si="8"/>
        <v>4.271225392054574E-05</v>
      </c>
      <c r="AG104" s="49">
        <f t="shared" si="9"/>
        <v>0</v>
      </c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23:48" ht="12.75">
      <c r="W105" s="35"/>
      <c r="X105" s="35"/>
      <c r="Y105" s="35"/>
      <c r="Z105" s="35"/>
      <c r="AA105" s="35">
        <v>82</v>
      </c>
      <c r="AB105" s="35">
        <v>82</v>
      </c>
      <c r="AC105" s="65">
        <f t="shared" si="5"/>
        <v>0</v>
      </c>
      <c r="AD105" s="64">
        <f t="shared" si="6"/>
        <v>1</v>
      </c>
      <c r="AE105" s="48">
        <f t="shared" si="7"/>
        <v>1.3619978928745457E-05</v>
      </c>
      <c r="AF105" s="48">
        <f t="shared" si="8"/>
        <v>4.271225392054574E-05</v>
      </c>
      <c r="AG105" s="49">
        <f t="shared" si="9"/>
        <v>0</v>
      </c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23:48" ht="12.75">
      <c r="W106" s="35"/>
      <c r="X106" s="35"/>
      <c r="Y106" s="35"/>
      <c r="Z106" s="35"/>
      <c r="AA106" s="35">
        <v>83</v>
      </c>
      <c r="AB106" s="35">
        <v>83</v>
      </c>
      <c r="AC106" s="65">
        <f t="shared" si="5"/>
        <v>0</v>
      </c>
      <c r="AD106" s="64">
        <f t="shared" si="6"/>
        <v>1</v>
      </c>
      <c r="AE106" s="48">
        <f t="shared" si="7"/>
        <v>1.3619978928745457E-05</v>
      </c>
      <c r="AF106" s="48">
        <f t="shared" si="8"/>
        <v>4.271225392054574E-05</v>
      </c>
      <c r="AG106" s="49">
        <f t="shared" si="9"/>
        <v>0</v>
      </c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23:48" ht="12.75">
      <c r="W107" s="35"/>
      <c r="X107" s="35"/>
      <c r="Y107" s="35"/>
      <c r="Z107" s="35"/>
      <c r="AA107" s="35">
        <v>84</v>
      </c>
      <c r="AB107" s="35">
        <v>84</v>
      </c>
      <c r="AC107" s="65">
        <f t="shared" si="5"/>
        <v>0</v>
      </c>
      <c r="AD107" s="64">
        <f t="shared" si="6"/>
        <v>1</v>
      </c>
      <c r="AE107" s="48">
        <f t="shared" si="7"/>
        <v>1.3619978928745457E-05</v>
      </c>
      <c r="AF107" s="48">
        <f t="shared" si="8"/>
        <v>4.271225392054574E-05</v>
      </c>
      <c r="AG107" s="49">
        <f t="shared" si="9"/>
        <v>0</v>
      </c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23:48" ht="12.75">
      <c r="W108" s="35"/>
      <c r="X108" s="35"/>
      <c r="Y108" s="35"/>
      <c r="Z108" s="35"/>
      <c r="AA108" s="35">
        <v>85</v>
      </c>
      <c r="AB108" s="35">
        <v>85</v>
      </c>
      <c r="AC108" s="65">
        <f t="shared" si="5"/>
        <v>0</v>
      </c>
      <c r="AD108" s="64">
        <f t="shared" si="6"/>
        <v>1</v>
      </c>
      <c r="AE108" s="48">
        <f t="shared" si="7"/>
        <v>1.3619978928745457E-05</v>
      </c>
      <c r="AF108" s="48">
        <f t="shared" si="8"/>
        <v>4.271225392054574E-05</v>
      </c>
      <c r="AG108" s="49">
        <f t="shared" si="9"/>
        <v>0</v>
      </c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23:48" ht="12.75">
      <c r="W109" s="35"/>
      <c r="X109" s="35"/>
      <c r="Y109" s="35"/>
      <c r="Z109" s="35"/>
      <c r="AA109" s="35">
        <v>86</v>
      </c>
      <c r="AB109" s="35">
        <v>86</v>
      </c>
      <c r="AC109" s="65">
        <f t="shared" si="5"/>
        <v>0</v>
      </c>
      <c r="AD109" s="64">
        <f t="shared" si="6"/>
        <v>1</v>
      </c>
      <c r="AE109" s="48">
        <f t="shared" si="7"/>
        <v>1.3619978928745457E-05</v>
      </c>
      <c r="AF109" s="48">
        <f t="shared" si="8"/>
        <v>4.271225392054574E-05</v>
      </c>
      <c r="AG109" s="49">
        <f t="shared" si="9"/>
        <v>0</v>
      </c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23:48" ht="12.75">
      <c r="W110" s="35"/>
      <c r="X110" s="35"/>
      <c r="Y110" s="35"/>
      <c r="Z110" s="35"/>
      <c r="AA110" s="35">
        <v>87</v>
      </c>
      <c r="AB110" s="35">
        <v>87</v>
      </c>
      <c r="AC110" s="65">
        <f t="shared" si="5"/>
        <v>0</v>
      </c>
      <c r="AD110" s="64">
        <f t="shared" si="6"/>
        <v>1</v>
      </c>
      <c r="AE110" s="48">
        <f t="shared" si="7"/>
        <v>1.3619978928745457E-05</v>
      </c>
      <c r="AF110" s="48">
        <f t="shared" si="8"/>
        <v>4.271225392054574E-05</v>
      </c>
      <c r="AG110" s="49">
        <f t="shared" si="9"/>
        <v>0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23:48" ht="12.75">
      <c r="W111" s="35"/>
      <c r="X111" s="35"/>
      <c r="Y111" s="35"/>
      <c r="Z111" s="35"/>
      <c r="AA111" s="35">
        <v>88</v>
      </c>
      <c r="AB111" s="35">
        <v>88</v>
      </c>
      <c r="AC111" s="65">
        <f t="shared" si="5"/>
        <v>0</v>
      </c>
      <c r="AD111" s="64">
        <f t="shared" si="6"/>
        <v>1</v>
      </c>
      <c r="AE111" s="48">
        <f t="shared" si="7"/>
        <v>1.3619978928745457E-05</v>
      </c>
      <c r="AF111" s="48">
        <f t="shared" si="8"/>
        <v>4.271225392054574E-05</v>
      </c>
      <c r="AG111" s="49">
        <f t="shared" si="9"/>
        <v>0</v>
      </c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23:48" ht="12.75">
      <c r="W112" s="35"/>
      <c r="X112" s="35"/>
      <c r="Y112" s="35"/>
      <c r="Z112" s="35"/>
      <c r="AA112" s="35">
        <v>89</v>
      </c>
      <c r="AB112" s="35">
        <v>89</v>
      </c>
      <c r="AC112" s="65">
        <f t="shared" si="5"/>
        <v>0</v>
      </c>
      <c r="AD112" s="64">
        <f t="shared" si="6"/>
        <v>1</v>
      </c>
      <c r="AE112" s="48">
        <f t="shared" si="7"/>
        <v>1.3619978928745457E-05</v>
      </c>
      <c r="AF112" s="48">
        <f t="shared" si="8"/>
        <v>4.271225392054574E-05</v>
      </c>
      <c r="AG112" s="49">
        <f t="shared" si="9"/>
        <v>0</v>
      </c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3:48" ht="12.75">
      <c r="W113" s="35"/>
      <c r="X113" s="35"/>
      <c r="Y113" s="35"/>
      <c r="Z113" s="35"/>
      <c r="AA113" s="35">
        <v>90</v>
      </c>
      <c r="AB113" s="35">
        <v>90</v>
      </c>
      <c r="AC113" s="65">
        <f t="shared" si="5"/>
        <v>0</v>
      </c>
      <c r="AD113" s="64">
        <f t="shared" si="6"/>
        <v>1</v>
      </c>
      <c r="AE113" s="48">
        <f t="shared" si="7"/>
        <v>1.3619978928745457E-05</v>
      </c>
      <c r="AF113" s="48">
        <f t="shared" si="8"/>
        <v>4.271225392054574E-05</v>
      </c>
      <c r="AG113" s="49">
        <f t="shared" si="9"/>
        <v>0</v>
      </c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3:48" ht="12.75">
      <c r="W114" s="35"/>
      <c r="X114" s="35"/>
      <c r="Y114" s="35"/>
      <c r="Z114" s="35"/>
      <c r="AA114" s="35">
        <v>91</v>
      </c>
      <c r="AB114" s="35">
        <v>91</v>
      </c>
      <c r="AC114" s="65">
        <f t="shared" si="5"/>
        <v>0</v>
      </c>
      <c r="AD114" s="64">
        <f t="shared" si="6"/>
        <v>1</v>
      </c>
      <c r="AE114" s="48">
        <f t="shared" si="7"/>
        <v>1.3619978928745457E-05</v>
      </c>
      <c r="AF114" s="48">
        <f t="shared" si="8"/>
        <v>4.271225392054574E-05</v>
      </c>
      <c r="AG114" s="49">
        <f t="shared" si="9"/>
        <v>0</v>
      </c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23:48" ht="12.75">
      <c r="W115" s="35"/>
      <c r="X115" s="35"/>
      <c r="Y115" s="35"/>
      <c r="Z115" s="35"/>
      <c r="AA115" s="35">
        <v>92</v>
      </c>
      <c r="AB115" s="35">
        <v>92</v>
      </c>
      <c r="AC115" s="65">
        <f t="shared" si="5"/>
        <v>0</v>
      </c>
      <c r="AD115" s="64">
        <f t="shared" si="6"/>
        <v>1</v>
      </c>
      <c r="AE115" s="48">
        <f t="shared" si="7"/>
        <v>1.3619978928745457E-05</v>
      </c>
      <c r="AF115" s="48">
        <f t="shared" si="8"/>
        <v>4.271225392054574E-05</v>
      </c>
      <c r="AG115" s="49">
        <f t="shared" si="9"/>
        <v>0</v>
      </c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23:48" ht="12.75">
      <c r="W116" s="35"/>
      <c r="X116" s="35"/>
      <c r="Y116" s="35"/>
      <c r="Z116" s="35"/>
      <c r="AA116" s="35">
        <v>93</v>
      </c>
      <c r="AB116" s="35">
        <v>93</v>
      </c>
      <c r="AC116" s="65">
        <f t="shared" si="5"/>
        <v>0</v>
      </c>
      <c r="AD116" s="64">
        <f t="shared" si="6"/>
        <v>1</v>
      </c>
      <c r="AE116" s="48">
        <f t="shared" si="7"/>
        <v>1.3619978928745457E-05</v>
      </c>
      <c r="AF116" s="48">
        <f t="shared" si="8"/>
        <v>4.271225392054574E-05</v>
      </c>
      <c r="AG116" s="49">
        <f t="shared" si="9"/>
        <v>0</v>
      </c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</row>
    <row r="117" spans="23:48" ht="12.75">
      <c r="W117" s="35"/>
      <c r="X117" s="35"/>
      <c r="Y117" s="35"/>
      <c r="Z117" s="35"/>
      <c r="AA117" s="35">
        <v>94</v>
      </c>
      <c r="AB117" s="35">
        <v>94</v>
      </c>
      <c r="AC117" s="65">
        <f t="shared" si="5"/>
        <v>0</v>
      </c>
      <c r="AD117" s="64">
        <f t="shared" si="6"/>
        <v>1</v>
      </c>
      <c r="AE117" s="48">
        <f t="shared" si="7"/>
        <v>1.3619978928745457E-05</v>
      </c>
      <c r="AF117" s="48">
        <f t="shared" si="8"/>
        <v>4.271225392054574E-05</v>
      </c>
      <c r="AG117" s="49">
        <f t="shared" si="9"/>
        <v>0</v>
      </c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23:48" ht="12.75">
      <c r="W118" s="35"/>
      <c r="X118" s="35"/>
      <c r="Y118" s="35"/>
      <c r="Z118" s="35"/>
      <c r="AA118" s="35">
        <v>95</v>
      </c>
      <c r="AB118" s="35">
        <v>95</v>
      </c>
      <c r="AC118" s="65">
        <f t="shared" si="5"/>
        <v>0</v>
      </c>
      <c r="AD118" s="64">
        <f t="shared" si="6"/>
        <v>1</v>
      </c>
      <c r="AE118" s="48">
        <f t="shared" si="7"/>
        <v>1.3619978928745457E-05</v>
      </c>
      <c r="AF118" s="48">
        <f t="shared" si="8"/>
        <v>4.271225392054574E-05</v>
      </c>
      <c r="AG118" s="49">
        <f t="shared" si="9"/>
        <v>0</v>
      </c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23:48" ht="12.75">
      <c r="W119" s="35"/>
      <c r="X119" s="35"/>
      <c r="Y119" s="35"/>
      <c r="Z119" s="35"/>
      <c r="AA119" s="35">
        <v>96</v>
      </c>
      <c r="AB119" s="35">
        <v>96</v>
      </c>
      <c r="AC119" s="65">
        <f t="shared" si="5"/>
        <v>0</v>
      </c>
      <c r="AD119" s="64">
        <f t="shared" si="6"/>
        <v>1</v>
      </c>
      <c r="AE119" s="48">
        <f t="shared" si="7"/>
        <v>1.3619978928745457E-05</v>
      </c>
      <c r="AF119" s="48">
        <f t="shared" si="8"/>
        <v>4.271225392054574E-05</v>
      </c>
      <c r="AG119" s="49">
        <f t="shared" si="9"/>
        <v>0</v>
      </c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23:48" ht="12.75">
      <c r="W120" s="35"/>
      <c r="X120" s="35"/>
      <c r="Y120" s="35"/>
      <c r="Z120" s="35"/>
      <c r="AA120" s="35">
        <v>97</v>
      </c>
      <c r="AB120" s="35">
        <v>97</v>
      </c>
      <c r="AC120" s="65">
        <f t="shared" si="5"/>
        <v>0</v>
      </c>
      <c r="AD120" s="64">
        <f t="shared" si="6"/>
        <v>1</v>
      </c>
      <c r="AE120" s="48">
        <f t="shared" si="7"/>
        <v>1.3619978928745457E-05</v>
      </c>
      <c r="AF120" s="48">
        <f t="shared" si="8"/>
        <v>4.271225392054574E-05</v>
      </c>
      <c r="AG120" s="49">
        <f t="shared" si="9"/>
        <v>0</v>
      </c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23:48" ht="12.75">
      <c r="W121" s="35"/>
      <c r="X121" s="35"/>
      <c r="Y121" s="35"/>
      <c r="Z121" s="35"/>
      <c r="AA121" s="35">
        <v>98</v>
      </c>
      <c r="AB121" s="35">
        <v>98</v>
      </c>
      <c r="AC121" s="65">
        <f t="shared" si="5"/>
        <v>0</v>
      </c>
      <c r="AD121" s="64">
        <f t="shared" si="6"/>
        <v>1</v>
      </c>
      <c r="AE121" s="48">
        <f t="shared" si="7"/>
        <v>1.3619978928745457E-05</v>
      </c>
      <c r="AF121" s="48">
        <f t="shared" si="8"/>
        <v>4.271225392054574E-05</v>
      </c>
      <c r="AG121" s="49">
        <f t="shared" si="9"/>
        <v>0</v>
      </c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23:48" ht="12.75">
      <c r="W122" s="35"/>
      <c r="X122" s="35"/>
      <c r="Y122" s="35"/>
      <c r="Z122" s="35"/>
      <c r="AA122" s="35">
        <v>99</v>
      </c>
      <c r="AB122" s="35">
        <v>99</v>
      </c>
      <c r="AC122" s="65">
        <f t="shared" si="5"/>
        <v>0</v>
      </c>
      <c r="AD122" s="64">
        <f t="shared" si="6"/>
        <v>1</v>
      </c>
      <c r="AE122" s="48">
        <f t="shared" si="7"/>
        <v>1.3619978928745457E-05</v>
      </c>
      <c r="AF122" s="48">
        <f t="shared" si="8"/>
        <v>4.271225392054574E-05</v>
      </c>
      <c r="AG122" s="49">
        <f t="shared" si="9"/>
        <v>0</v>
      </c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23:48" ht="13.5" thickBot="1">
      <c r="W123" s="35"/>
      <c r="X123" s="35"/>
      <c r="Y123" s="35"/>
      <c r="Z123" s="35"/>
      <c r="AA123" s="55">
        <v>100</v>
      </c>
      <c r="AB123" s="35">
        <v>100</v>
      </c>
      <c r="AC123" s="65">
        <f t="shared" si="5"/>
        <v>0</v>
      </c>
      <c r="AD123" s="64">
        <f t="shared" si="6"/>
        <v>1</v>
      </c>
      <c r="AE123" s="56">
        <f t="shared" si="7"/>
        <v>1.3619978928745457E-05</v>
      </c>
      <c r="AF123" s="48">
        <f t="shared" si="8"/>
        <v>4.271225392054574E-05</v>
      </c>
      <c r="AG123" s="49">
        <f t="shared" si="9"/>
        <v>0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23:48" ht="12.75">
      <c r="W124" s="35"/>
      <c r="X124" s="35"/>
      <c r="Y124" s="35"/>
      <c r="Z124" s="35"/>
      <c r="AA124" s="57">
        <v>101</v>
      </c>
      <c r="AB124" s="35">
        <v>101</v>
      </c>
      <c r="AC124" s="65">
        <f t="shared" si="5"/>
        <v>0</v>
      </c>
      <c r="AD124" s="64">
        <f t="shared" si="6"/>
        <v>1</v>
      </c>
      <c r="AE124" s="48">
        <f t="shared" si="7"/>
        <v>1.3619978928745457E-05</v>
      </c>
      <c r="AF124" s="48">
        <f t="shared" si="8"/>
        <v>4.271225392054574E-05</v>
      </c>
      <c r="AG124" s="49">
        <f t="shared" si="9"/>
        <v>0</v>
      </c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23:48" ht="12.75">
      <c r="W125" s="35"/>
      <c r="X125" s="35"/>
      <c r="Y125" s="35"/>
      <c r="Z125" s="35"/>
      <c r="AA125" s="57">
        <v>102</v>
      </c>
      <c r="AB125" s="35">
        <v>102</v>
      </c>
      <c r="AC125" s="65">
        <f t="shared" si="5"/>
        <v>0</v>
      </c>
      <c r="AD125" s="64">
        <f t="shared" si="6"/>
        <v>1</v>
      </c>
      <c r="AE125" s="48">
        <f t="shared" si="7"/>
        <v>1.3619978928745457E-05</v>
      </c>
      <c r="AF125" s="48">
        <f t="shared" si="8"/>
        <v>4.271225392054574E-05</v>
      </c>
      <c r="AG125" s="49">
        <f t="shared" si="9"/>
        <v>0</v>
      </c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23:48" ht="12.75">
      <c r="W126" s="35"/>
      <c r="X126" s="35"/>
      <c r="Y126" s="35"/>
      <c r="Z126" s="35"/>
      <c r="AA126" s="57">
        <v>103</v>
      </c>
      <c r="AB126" s="35">
        <v>103</v>
      </c>
      <c r="AC126" s="65">
        <f t="shared" si="5"/>
        <v>0</v>
      </c>
      <c r="AD126" s="64">
        <f t="shared" si="6"/>
        <v>1</v>
      </c>
      <c r="AE126" s="48">
        <f t="shared" si="7"/>
        <v>1.3619978928745457E-05</v>
      </c>
      <c r="AF126" s="48">
        <f t="shared" si="8"/>
        <v>4.271225392054574E-05</v>
      </c>
      <c r="AG126" s="49">
        <f t="shared" si="9"/>
        <v>0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23:48" ht="12.75">
      <c r="W127" s="35"/>
      <c r="X127" s="35"/>
      <c r="Y127" s="35"/>
      <c r="Z127" s="35"/>
      <c r="AA127" s="57">
        <v>104</v>
      </c>
      <c r="AB127" s="35">
        <v>104</v>
      </c>
      <c r="AC127" s="65">
        <f t="shared" si="5"/>
        <v>0</v>
      </c>
      <c r="AD127" s="64">
        <f t="shared" si="6"/>
        <v>1</v>
      </c>
      <c r="AE127" s="48">
        <f t="shared" si="7"/>
        <v>1.3619978928745457E-05</v>
      </c>
      <c r="AF127" s="48">
        <f t="shared" si="8"/>
        <v>4.271225392054574E-05</v>
      </c>
      <c r="AG127" s="49">
        <f t="shared" si="9"/>
        <v>0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23:48" ht="12.75">
      <c r="W128" s="35"/>
      <c r="X128" s="35"/>
      <c r="Y128" s="35"/>
      <c r="Z128" s="35"/>
      <c r="AA128" s="57">
        <v>105</v>
      </c>
      <c r="AB128" s="35">
        <v>105</v>
      </c>
      <c r="AC128" s="65">
        <f t="shared" si="5"/>
        <v>0</v>
      </c>
      <c r="AD128" s="64">
        <f t="shared" si="6"/>
        <v>1</v>
      </c>
      <c r="AE128" s="48">
        <f t="shared" si="7"/>
        <v>1.3619978928745457E-05</v>
      </c>
      <c r="AF128" s="48">
        <f t="shared" si="8"/>
        <v>4.271225392054574E-05</v>
      </c>
      <c r="AG128" s="49">
        <f t="shared" si="9"/>
        <v>0</v>
      </c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23:48" ht="12.75">
      <c r="W129" s="35"/>
      <c r="X129" s="35"/>
      <c r="Y129" s="35"/>
      <c r="Z129" s="35"/>
      <c r="AA129" s="57">
        <v>106</v>
      </c>
      <c r="AB129" s="35">
        <v>106</v>
      </c>
      <c r="AC129" s="65">
        <f t="shared" si="5"/>
        <v>0</v>
      </c>
      <c r="AD129" s="64">
        <f t="shared" si="6"/>
        <v>1</v>
      </c>
      <c r="AE129" s="48">
        <f t="shared" si="7"/>
        <v>1.3619978928745457E-05</v>
      </c>
      <c r="AF129" s="48">
        <f t="shared" si="8"/>
        <v>4.271225392054574E-05</v>
      </c>
      <c r="AG129" s="49">
        <f t="shared" si="9"/>
        <v>0</v>
      </c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23:48" ht="12.75">
      <c r="W130" s="35"/>
      <c r="X130" s="35"/>
      <c r="Y130" s="35"/>
      <c r="Z130" s="35"/>
      <c r="AA130" s="57">
        <v>107</v>
      </c>
      <c r="AB130" s="35">
        <v>107</v>
      </c>
      <c r="AC130" s="65">
        <f t="shared" si="5"/>
        <v>0</v>
      </c>
      <c r="AD130" s="64">
        <f t="shared" si="6"/>
        <v>1</v>
      </c>
      <c r="AE130" s="48">
        <f t="shared" si="7"/>
        <v>1.3619978928745457E-05</v>
      </c>
      <c r="AF130" s="48">
        <f t="shared" si="8"/>
        <v>4.271225392054574E-05</v>
      </c>
      <c r="AG130" s="49">
        <f t="shared" si="9"/>
        <v>0</v>
      </c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23:48" ht="12.75">
      <c r="W131" s="35"/>
      <c r="X131" s="35"/>
      <c r="Y131" s="35"/>
      <c r="Z131" s="35"/>
      <c r="AA131" s="57">
        <v>108</v>
      </c>
      <c r="AB131" s="35">
        <v>108</v>
      </c>
      <c r="AC131" s="65">
        <f t="shared" si="5"/>
        <v>0</v>
      </c>
      <c r="AD131" s="64">
        <f t="shared" si="6"/>
        <v>1</v>
      </c>
      <c r="AE131" s="48">
        <f t="shared" si="7"/>
        <v>1.3619978928745457E-05</v>
      </c>
      <c r="AF131" s="48">
        <f t="shared" si="8"/>
        <v>4.271225392054574E-05</v>
      </c>
      <c r="AG131" s="49">
        <f t="shared" si="9"/>
        <v>0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23:48" ht="12.75">
      <c r="W132" s="35"/>
      <c r="X132" s="35"/>
      <c r="Y132" s="35"/>
      <c r="Z132" s="35"/>
      <c r="AA132" s="57">
        <v>109</v>
      </c>
      <c r="AB132" s="35">
        <v>109</v>
      </c>
      <c r="AC132" s="65">
        <f t="shared" si="5"/>
        <v>0</v>
      </c>
      <c r="AD132" s="64">
        <f t="shared" si="6"/>
        <v>1</v>
      </c>
      <c r="AE132" s="48">
        <f t="shared" si="7"/>
        <v>1.3619978928745457E-05</v>
      </c>
      <c r="AF132" s="48">
        <f t="shared" si="8"/>
        <v>4.271225392054574E-05</v>
      </c>
      <c r="AG132" s="49">
        <f t="shared" si="9"/>
        <v>0</v>
      </c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3:48" ht="12.75">
      <c r="W133" s="35"/>
      <c r="X133" s="35"/>
      <c r="Y133" s="35"/>
      <c r="Z133" s="35"/>
      <c r="AA133" s="57">
        <v>110</v>
      </c>
      <c r="AB133" s="35">
        <v>110</v>
      </c>
      <c r="AC133" s="65">
        <f t="shared" si="5"/>
        <v>0</v>
      </c>
      <c r="AD133" s="64">
        <f t="shared" si="6"/>
        <v>1</v>
      </c>
      <c r="AE133" s="48">
        <f t="shared" si="7"/>
        <v>1.3619978928745457E-05</v>
      </c>
      <c r="AF133" s="48">
        <f t="shared" si="8"/>
        <v>4.271225392054574E-05</v>
      </c>
      <c r="AG133" s="49">
        <f t="shared" si="9"/>
        <v>0</v>
      </c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</row>
    <row r="134" spans="23:48" ht="12.75">
      <c r="W134" s="35"/>
      <c r="X134" s="35"/>
      <c r="Y134" s="35"/>
      <c r="Z134" s="35"/>
      <c r="AA134" s="57">
        <v>111</v>
      </c>
      <c r="AB134" s="35">
        <v>111</v>
      </c>
      <c r="AC134" s="65">
        <f t="shared" si="5"/>
        <v>0</v>
      </c>
      <c r="AD134" s="64">
        <f t="shared" si="6"/>
        <v>1</v>
      </c>
      <c r="AE134" s="48">
        <f t="shared" si="7"/>
        <v>1.3619978928745457E-05</v>
      </c>
      <c r="AF134" s="48">
        <f t="shared" si="8"/>
        <v>4.271225392054574E-05</v>
      </c>
      <c r="AG134" s="49">
        <f t="shared" si="9"/>
        <v>0</v>
      </c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23:48" ht="12.75">
      <c r="W135" s="35"/>
      <c r="X135" s="35"/>
      <c r="Y135" s="35"/>
      <c r="Z135" s="35"/>
      <c r="AA135" s="57">
        <v>112</v>
      </c>
      <c r="AB135" s="35">
        <v>112</v>
      </c>
      <c r="AC135" s="65">
        <f t="shared" si="5"/>
        <v>0</v>
      </c>
      <c r="AD135" s="64">
        <f t="shared" si="6"/>
        <v>1</v>
      </c>
      <c r="AE135" s="48">
        <f t="shared" si="7"/>
        <v>1.3619978928745457E-05</v>
      </c>
      <c r="AF135" s="48">
        <f t="shared" si="8"/>
        <v>4.271225392054574E-05</v>
      </c>
      <c r="AG135" s="49">
        <f t="shared" si="9"/>
        <v>0</v>
      </c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23:48" ht="12.75">
      <c r="W136" s="35"/>
      <c r="X136" s="35"/>
      <c r="Y136" s="35"/>
      <c r="Z136" s="35"/>
      <c r="AA136" s="57">
        <v>113</v>
      </c>
      <c r="AB136" s="35">
        <v>113</v>
      </c>
      <c r="AC136" s="65">
        <f t="shared" si="5"/>
        <v>0</v>
      </c>
      <c r="AD136" s="64">
        <f t="shared" si="6"/>
        <v>1</v>
      </c>
      <c r="AE136" s="48">
        <f t="shared" si="7"/>
        <v>1.3619978928745457E-05</v>
      </c>
      <c r="AF136" s="48">
        <f t="shared" si="8"/>
        <v>4.271225392054574E-05</v>
      </c>
      <c r="AG136" s="49">
        <f t="shared" si="9"/>
        <v>0</v>
      </c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23:48" ht="12.75">
      <c r="W137" s="35"/>
      <c r="X137" s="35"/>
      <c r="Y137" s="35"/>
      <c r="Z137" s="35"/>
      <c r="AA137" s="57">
        <v>114</v>
      </c>
      <c r="AB137" s="35">
        <v>114</v>
      </c>
      <c r="AC137" s="65">
        <f t="shared" si="5"/>
        <v>0</v>
      </c>
      <c r="AD137" s="64">
        <f t="shared" si="6"/>
        <v>1</v>
      </c>
      <c r="AE137" s="48">
        <f t="shared" si="7"/>
        <v>1.3619978928745457E-05</v>
      </c>
      <c r="AF137" s="48">
        <f t="shared" si="8"/>
        <v>4.271225392054574E-05</v>
      </c>
      <c r="AG137" s="49">
        <f t="shared" si="9"/>
        <v>0</v>
      </c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23:48" ht="12.75">
      <c r="W138" s="35"/>
      <c r="X138" s="35"/>
      <c r="Y138" s="35"/>
      <c r="Z138" s="35"/>
      <c r="AA138" s="57">
        <v>115</v>
      </c>
      <c r="AB138" s="35">
        <v>115</v>
      </c>
      <c r="AC138" s="65">
        <f t="shared" si="5"/>
        <v>0</v>
      </c>
      <c r="AD138" s="64">
        <f t="shared" si="6"/>
        <v>1</v>
      </c>
      <c r="AE138" s="48">
        <f t="shared" si="7"/>
        <v>1.3619978928745457E-05</v>
      </c>
      <c r="AF138" s="48">
        <f t="shared" si="8"/>
        <v>4.271225392054574E-05</v>
      </c>
      <c r="AG138" s="49">
        <f t="shared" si="9"/>
        <v>0</v>
      </c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23:48" ht="12.75">
      <c r="W139" s="35"/>
      <c r="X139" s="35"/>
      <c r="Y139" s="35"/>
      <c r="Z139" s="35"/>
      <c r="AA139" s="57">
        <v>116</v>
      </c>
      <c r="AB139" s="35">
        <v>116</v>
      </c>
      <c r="AC139" s="65">
        <f t="shared" si="5"/>
        <v>0</v>
      </c>
      <c r="AD139" s="64">
        <f t="shared" si="6"/>
        <v>1</v>
      </c>
      <c r="AE139" s="48">
        <f t="shared" si="7"/>
        <v>1.3619978928745457E-05</v>
      </c>
      <c r="AF139" s="48">
        <f t="shared" si="8"/>
        <v>4.271225392054574E-05</v>
      </c>
      <c r="AG139" s="49">
        <f t="shared" si="9"/>
        <v>0</v>
      </c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23:48" ht="12.75">
      <c r="W140" s="35"/>
      <c r="X140" s="35"/>
      <c r="Y140" s="35"/>
      <c r="Z140" s="35"/>
      <c r="AA140" s="57">
        <v>117</v>
      </c>
      <c r="AB140" s="35">
        <v>117</v>
      </c>
      <c r="AC140" s="65">
        <f t="shared" si="5"/>
        <v>0</v>
      </c>
      <c r="AD140" s="64">
        <f t="shared" si="6"/>
        <v>1</v>
      </c>
      <c r="AE140" s="48">
        <f t="shared" si="7"/>
        <v>1.3619978928745457E-05</v>
      </c>
      <c r="AF140" s="48">
        <f t="shared" si="8"/>
        <v>4.271225392054574E-05</v>
      </c>
      <c r="AG140" s="49">
        <f t="shared" si="9"/>
        <v>0</v>
      </c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23:48" ht="12.75">
      <c r="W141" s="35"/>
      <c r="X141" s="35"/>
      <c r="Y141" s="35"/>
      <c r="Z141" s="35"/>
      <c r="AA141" s="57">
        <v>118</v>
      </c>
      <c r="AB141" s="35">
        <v>118</v>
      </c>
      <c r="AC141" s="65">
        <f t="shared" si="5"/>
        <v>0</v>
      </c>
      <c r="AD141" s="64">
        <f t="shared" si="6"/>
        <v>1</v>
      </c>
      <c r="AE141" s="48">
        <f t="shared" si="7"/>
        <v>1.3619978928745457E-05</v>
      </c>
      <c r="AF141" s="48">
        <f t="shared" si="8"/>
        <v>4.271225392054574E-05</v>
      </c>
      <c r="AG141" s="49">
        <f t="shared" si="9"/>
        <v>0</v>
      </c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</row>
    <row r="142" spans="23:48" ht="12.75">
      <c r="W142" s="35"/>
      <c r="X142" s="35"/>
      <c r="Y142" s="35"/>
      <c r="Z142" s="35"/>
      <c r="AA142" s="57">
        <v>119</v>
      </c>
      <c r="AB142" s="35">
        <v>119</v>
      </c>
      <c r="AC142" s="65">
        <f t="shared" si="5"/>
        <v>0</v>
      </c>
      <c r="AD142" s="64">
        <f t="shared" si="6"/>
        <v>1</v>
      </c>
      <c r="AE142" s="48">
        <f t="shared" si="7"/>
        <v>1.3619978928745457E-05</v>
      </c>
      <c r="AF142" s="48">
        <f t="shared" si="8"/>
        <v>4.271225392054574E-05</v>
      </c>
      <c r="AG142" s="49">
        <f t="shared" si="9"/>
        <v>0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23:48" ht="12.75">
      <c r="W143" s="35"/>
      <c r="X143" s="35"/>
      <c r="Y143" s="35"/>
      <c r="Z143" s="35"/>
      <c r="AA143" s="57">
        <v>120</v>
      </c>
      <c r="AB143" s="35">
        <v>120</v>
      </c>
      <c r="AC143" s="65">
        <f t="shared" si="5"/>
        <v>0</v>
      </c>
      <c r="AD143" s="64">
        <f t="shared" si="6"/>
        <v>1</v>
      </c>
      <c r="AE143" s="48">
        <f t="shared" si="7"/>
        <v>1.3619978928745457E-05</v>
      </c>
      <c r="AF143" s="48">
        <f t="shared" si="8"/>
        <v>4.271225392054574E-05</v>
      </c>
      <c r="AG143" s="49">
        <f t="shared" si="9"/>
        <v>0</v>
      </c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23:48" ht="12.75">
      <c r="W144" s="35"/>
      <c r="X144" s="35"/>
      <c r="Y144" s="35"/>
      <c r="Z144" s="35"/>
      <c r="AA144" s="57">
        <v>121</v>
      </c>
      <c r="AB144" s="35">
        <v>121</v>
      </c>
      <c r="AC144" s="65">
        <f t="shared" si="5"/>
        <v>0</v>
      </c>
      <c r="AD144" s="64">
        <f t="shared" si="6"/>
        <v>1</v>
      </c>
      <c r="AE144" s="48">
        <f t="shared" si="7"/>
        <v>1.3619978928745457E-05</v>
      </c>
      <c r="AF144" s="48">
        <f t="shared" si="8"/>
        <v>4.271225392054574E-05</v>
      </c>
      <c r="AG144" s="49">
        <f t="shared" si="9"/>
        <v>0</v>
      </c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23:48" ht="12.75">
      <c r="W145" s="35"/>
      <c r="X145" s="35"/>
      <c r="Y145" s="35"/>
      <c r="Z145" s="35"/>
      <c r="AA145" s="57">
        <v>122</v>
      </c>
      <c r="AB145" s="35">
        <v>122</v>
      </c>
      <c r="AC145" s="65">
        <f t="shared" si="5"/>
        <v>0</v>
      </c>
      <c r="AD145" s="64">
        <f t="shared" si="6"/>
        <v>1</v>
      </c>
      <c r="AE145" s="48">
        <f t="shared" si="7"/>
        <v>1.3619978928745457E-05</v>
      </c>
      <c r="AF145" s="48">
        <f t="shared" si="8"/>
        <v>4.271225392054574E-05</v>
      </c>
      <c r="AG145" s="49">
        <f t="shared" si="9"/>
        <v>0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23:48" ht="12.75">
      <c r="W146" s="35"/>
      <c r="X146" s="35"/>
      <c r="Y146" s="35"/>
      <c r="Z146" s="35"/>
      <c r="AA146" s="57">
        <v>123</v>
      </c>
      <c r="AB146" s="35">
        <v>123</v>
      </c>
      <c r="AC146" s="65">
        <f t="shared" si="5"/>
        <v>0</v>
      </c>
      <c r="AD146" s="64">
        <f t="shared" si="6"/>
        <v>1</v>
      </c>
      <c r="AE146" s="48">
        <f t="shared" si="7"/>
        <v>1.3619978928745457E-05</v>
      </c>
      <c r="AF146" s="48">
        <f t="shared" si="8"/>
        <v>4.271225392054574E-05</v>
      </c>
      <c r="AG146" s="49">
        <f t="shared" si="9"/>
        <v>0</v>
      </c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</row>
    <row r="147" spans="23:48" ht="12.75">
      <c r="W147" s="35"/>
      <c r="X147" s="35"/>
      <c r="Y147" s="35"/>
      <c r="Z147" s="35"/>
      <c r="AA147" s="57">
        <v>124</v>
      </c>
      <c r="AB147" s="35">
        <v>124</v>
      </c>
      <c r="AC147" s="65">
        <f t="shared" si="5"/>
        <v>0</v>
      </c>
      <c r="AD147" s="64">
        <f t="shared" si="6"/>
        <v>1</v>
      </c>
      <c r="AE147" s="48">
        <f t="shared" si="7"/>
        <v>1.3619978928745457E-05</v>
      </c>
      <c r="AF147" s="48">
        <f t="shared" si="8"/>
        <v>4.271225392054574E-05</v>
      </c>
      <c r="AG147" s="49">
        <f t="shared" si="9"/>
        <v>0</v>
      </c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23:48" ht="12.75">
      <c r="W148" s="35"/>
      <c r="X148" s="35"/>
      <c r="Y148" s="35"/>
      <c r="Z148" s="35"/>
      <c r="AA148" s="57">
        <v>125</v>
      </c>
      <c r="AB148" s="35">
        <v>125</v>
      </c>
      <c r="AC148" s="65">
        <f t="shared" si="5"/>
        <v>0</v>
      </c>
      <c r="AD148" s="64">
        <f t="shared" si="6"/>
        <v>1</v>
      </c>
      <c r="AE148" s="48">
        <f t="shared" si="7"/>
        <v>1.3619978928745457E-05</v>
      </c>
      <c r="AF148" s="48">
        <f t="shared" si="8"/>
        <v>4.271225392054574E-05</v>
      </c>
      <c r="AG148" s="49">
        <f t="shared" si="9"/>
        <v>0</v>
      </c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23:48" ht="12.75">
      <c r="W149" s="35"/>
      <c r="X149" s="35"/>
      <c r="Y149" s="35"/>
      <c r="Z149" s="35"/>
      <c r="AA149" s="57">
        <v>126</v>
      </c>
      <c r="AB149" s="35">
        <v>126</v>
      </c>
      <c r="AC149" s="65">
        <f t="shared" si="5"/>
        <v>0</v>
      </c>
      <c r="AD149" s="64">
        <f t="shared" si="6"/>
        <v>1</v>
      </c>
      <c r="AE149" s="48">
        <f t="shared" si="7"/>
        <v>1.3619978928745457E-05</v>
      </c>
      <c r="AF149" s="48">
        <f t="shared" si="8"/>
        <v>4.271225392054574E-05</v>
      </c>
      <c r="AG149" s="49">
        <f t="shared" si="9"/>
        <v>0</v>
      </c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</row>
    <row r="150" spans="23:48" ht="12.75">
      <c r="W150" s="35"/>
      <c r="X150" s="35"/>
      <c r="Y150" s="35"/>
      <c r="Z150" s="35"/>
      <c r="AA150" s="57">
        <v>127</v>
      </c>
      <c r="AB150" s="35">
        <v>127</v>
      </c>
      <c r="AC150" s="65">
        <f t="shared" si="5"/>
        <v>0</v>
      </c>
      <c r="AD150" s="64">
        <f t="shared" si="6"/>
        <v>1</v>
      </c>
      <c r="AE150" s="48">
        <f t="shared" si="7"/>
        <v>1.3619978928745457E-05</v>
      </c>
      <c r="AF150" s="48">
        <f t="shared" si="8"/>
        <v>4.271225392054574E-05</v>
      </c>
      <c r="AG150" s="49">
        <f t="shared" si="9"/>
        <v>0</v>
      </c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</row>
    <row r="151" spans="23:48" ht="12.75">
      <c r="W151" s="35"/>
      <c r="X151" s="35"/>
      <c r="Y151" s="35"/>
      <c r="Z151" s="35"/>
      <c r="AA151" s="57">
        <v>128</v>
      </c>
      <c r="AB151" s="35">
        <v>128</v>
      </c>
      <c r="AC151" s="65">
        <f t="shared" si="5"/>
        <v>0</v>
      </c>
      <c r="AD151" s="64">
        <f t="shared" si="6"/>
        <v>1</v>
      </c>
      <c r="AE151" s="48">
        <f t="shared" si="7"/>
        <v>1.3619978928745457E-05</v>
      </c>
      <c r="AF151" s="48">
        <f t="shared" si="8"/>
        <v>4.271225392054574E-05</v>
      </c>
      <c r="AG151" s="49">
        <f t="shared" si="9"/>
        <v>0</v>
      </c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23:48" ht="12.75">
      <c r="W152" s="35"/>
      <c r="X152" s="35"/>
      <c r="Y152" s="35"/>
      <c r="Z152" s="35"/>
      <c r="AA152" s="57">
        <v>129</v>
      </c>
      <c r="AB152" s="35">
        <v>129</v>
      </c>
      <c r="AC152" s="65">
        <f aca="true" t="shared" si="10" ref="AC152:AC215">MIN(AB152*$AC$21,$BA$12)</f>
        <v>0</v>
      </c>
      <c r="AD152" s="64">
        <f aca="true" t="shared" si="11" ref="AD152:AD215">$AC$18-0.5*9.81*AC152^2</f>
        <v>1</v>
      </c>
      <c r="AE152" s="48">
        <f aca="true" t="shared" si="12" ref="AE152:AE215">$AC$11*EXP(-$AC$13*(AD152)^2)</f>
        <v>1.3619978928745457E-05</v>
      </c>
      <c r="AF152" s="48">
        <f aca="true" t="shared" si="13" ref="AF152:AF215">IF($Z$25=FALSE,AE152*$AC$7*1000,-AE152*$AC$7*1000)</f>
        <v>4.271225392054574E-05</v>
      </c>
      <c r="AG152" s="49">
        <f t="shared" si="9"/>
        <v>0</v>
      </c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23:48" ht="12.75">
      <c r="W153" s="35"/>
      <c r="X153" s="35"/>
      <c r="Y153" s="35"/>
      <c r="Z153" s="35"/>
      <c r="AA153" s="57">
        <v>130</v>
      </c>
      <c r="AB153" s="35">
        <v>130</v>
      </c>
      <c r="AC153" s="65">
        <f t="shared" si="10"/>
        <v>0</v>
      </c>
      <c r="AD153" s="64">
        <f t="shared" si="11"/>
        <v>1</v>
      </c>
      <c r="AE153" s="48">
        <f t="shared" si="12"/>
        <v>1.3619978928745457E-05</v>
      </c>
      <c r="AF153" s="48">
        <f t="shared" si="13"/>
        <v>4.271225392054574E-05</v>
      </c>
      <c r="AG153" s="49">
        <f t="shared" si="9"/>
        <v>0</v>
      </c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23:48" ht="12.75">
      <c r="W154" s="35"/>
      <c r="X154" s="35"/>
      <c r="Y154" s="35"/>
      <c r="Z154" s="35"/>
      <c r="AA154" s="57">
        <v>131</v>
      </c>
      <c r="AB154" s="35">
        <v>131</v>
      </c>
      <c r="AC154" s="65">
        <f t="shared" si="10"/>
        <v>0</v>
      </c>
      <c r="AD154" s="64">
        <f t="shared" si="11"/>
        <v>1</v>
      </c>
      <c r="AE154" s="48">
        <f t="shared" si="12"/>
        <v>1.3619978928745457E-05</v>
      </c>
      <c r="AF154" s="48">
        <f t="shared" si="13"/>
        <v>4.271225392054574E-05</v>
      </c>
      <c r="AG154" s="49">
        <f aca="true" t="shared" si="14" ref="AG154:AG217">IF($Z$27=TRUE,IF(AC155=AC153,AG153,$AC$8*(AF155-AF153)/(AC155-AC153)/1000),100)</f>
        <v>0</v>
      </c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</row>
    <row r="155" spans="23:48" ht="12.75">
      <c r="W155" s="35"/>
      <c r="X155" s="35"/>
      <c r="Y155" s="35"/>
      <c r="Z155" s="35"/>
      <c r="AA155" s="57">
        <v>132</v>
      </c>
      <c r="AB155" s="35">
        <v>132</v>
      </c>
      <c r="AC155" s="65">
        <f t="shared" si="10"/>
        <v>0</v>
      </c>
      <c r="AD155" s="64">
        <f t="shared" si="11"/>
        <v>1</v>
      </c>
      <c r="AE155" s="48">
        <f t="shared" si="12"/>
        <v>1.3619978928745457E-05</v>
      </c>
      <c r="AF155" s="48">
        <f t="shared" si="13"/>
        <v>4.271225392054574E-05</v>
      </c>
      <c r="AG155" s="49">
        <f t="shared" si="14"/>
        <v>0</v>
      </c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23:48" ht="12.75">
      <c r="W156" s="35"/>
      <c r="X156" s="35"/>
      <c r="Y156" s="35"/>
      <c r="Z156" s="35"/>
      <c r="AA156" s="57">
        <v>133</v>
      </c>
      <c r="AB156" s="35">
        <v>133</v>
      </c>
      <c r="AC156" s="65">
        <f t="shared" si="10"/>
        <v>0</v>
      </c>
      <c r="AD156" s="64">
        <f t="shared" si="11"/>
        <v>1</v>
      </c>
      <c r="AE156" s="48">
        <f t="shared" si="12"/>
        <v>1.3619978928745457E-05</v>
      </c>
      <c r="AF156" s="48">
        <f t="shared" si="13"/>
        <v>4.271225392054574E-05</v>
      </c>
      <c r="AG156" s="49">
        <f t="shared" si="14"/>
        <v>0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23:48" ht="12.75">
      <c r="W157" s="35"/>
      <c r="X157" s="35"/>
      <c r="Y157" s="35"/>
      <c r="Z157" s="35"/>
      <c r="AA157" s="57">
        <v>134</v>
      </c>
      <c r="AB157" s="35">
        <v>134</v>
      </c>
      <c r="AC157" s="65">
        <f t="shared" si="10"/>
        <v>0</v>
      </c>
      <c r="AD157" s="64">
        <f t="shared" si="11"/>
        <v>1</v>
      </c>
      <c r="AE157" s="48">
        <f t="shared" si="12"/>
        <v>1.3619978928745457E-05</v>
      </c>
      <c r="AF157" s="48">
        <f t="shared" si="13"/>
        <v>4.271225392054574E-05</v>
      </c>
      <c r="AG157" s="49">
        <f t="shared" si="14"/>
        <v>0</v>
      </c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23:48" ht="12.75">
      <c r="W158" s="35"/>
      <c r="X158" s="35"/>
      <c r="Y158" s="35"/>
      <c r="Z158" s="35"/>
      <c r="AA158" s="57">
        <v>135</v>
      </c>
      <c r="AB158" s="35">
        <v>135</v>
      </c>
      <c r="AC158" s="65">
        <f t="shared" si="10"/>
        <v>0</v>
      </c>
      <c r="AD158" s="64">
        <f t="shared" si="11"/>
        <v>1</v>
      </c>
      <c r="AE158" s="48">
        <f t="shared" si="12"/>
        <v>1.3619978928745457E-05</v>
      </c>
      <c r="AF158" s="48">
        <f t="shared" si="13"/>
        <v>4.271225392054574E-05</v>
      </c>
      <c r="AG158" s="49">
        <f t="shared" si="14"/>
        <v>0</v>
      </c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23:48" ht="12.75">
      <c r="W159" s="35"/>
      <c r="X159" s="35"/>
      <c r="Y159" s="35"/>
      <c r="Z159" s="35"/>
      <c r="AA159" s="57">
        <v>136</v>
      </c>
      <c r="AB159" s="35">
        <v>136</v>
      </c>
      <c r="AC159" s="65">
        <f t="shared" si="10"/>
        <v>0</v>
      </c>
      <c r="AD159" s="64">
        <f t="shared" si="11"/>
        <v>1</v>
      </c>
      <c r="AE159" s="48">
        <f t="shared" si="12"/>
        <v>1.3619978928745457E-05</v>
      </c>
      <c r="AF159" s="48">
        <f t="shared" si="13"/>
        <v>4.271225392054574E-05</v>
      </c>
      <c r="AG159" s="49">
        <f t="shared" si="14"/>
        <v>0</v>
      </c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23:48" ht="12.75">
      <c r="W160" s="35"/>
      <c r="X160" s="35"/>
      <c r="Y160" s="35"/>
      <c r="Z160" s="35"/>
      <c r="AA160" s="57">
        <v>137</v>
      </c>
      <c r="AB160" s="35">
        <v>137</v>
      </c>
      <c r="AC160" s="65">
        <f t="shared" si="10"/>
        <v>0</v>
      </c>
      <c r="AD160" s="64">
        <f t="shared" si="11"/>
        <v>1</v>
      </c>
      <c r="AE160" s="48">
        <f t="shared" si="12"/>
        <v>1.3619978928745457E-05</v>
      </c>
      <c r="AF160" s="48">
        <f t="shared" si="13"/>
        <v>4.271225392054574E-05</v>
      </c>
      <c r="AG160" s="49">
        <f t="shared" si="14"/>
        <v>0</v>
      </c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23:48" ht="12.75">
      <c r="W161" s="35"/>
      <c r="X161" s="35"/>
      <c r="Y161" s="35"/>
      <c r="Z161" s="35"/>
      <c r="AA161" s="57">
        <v>138</v>
      </c>
      <c r="AB161" s="35">
        <v>138</v>
      </c>
      <c r="AC161" s="65">
        <f t="shared" si="10"/>
        <v>0</v>
      </c>
      <c r="AD161" s="64">
        <f t="shared" si="11"/>
        <v>1</v>
      </c>
      <c r="AE161" s="48">
        <f t="shared" si="12"/>
        <v>1.3619978928745457E-05</v>
      </c>
      <c r="AF161" s="48">
        <f t="shared" si="13"/>
        <v>4.271225392054574E-05</v>
      </c>
      <c r="AG161" s="49">
        <f t="shared" si="14"/>
        <v>0</v>
      </c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23:48" ht="12.75">
      <c r="W162" s="35"/>
      <c r="X162" s="35"/>
      <c r="Y162" s="35"/>
      <c r="Z162" s="35"/>
      <c r="AA162" s="57">
        <v>139</v>
      </c>
      <c r="AB162" s="35">
        <v>139</v>
      </c>
      <c r="AC162" s="65">
        <f t="shared" si="10"/>
        <v>0</v>
      </c>
      <c r="AD162" s="64">
        <f t="shared" si="11"/>
        <v>1</v>
      </c>
      <c r="AE162" s="48">
        <f t="shared" si="12"/>
        <v>1.3619978928745457E-05</v>
      </c>
      <c r="AF162" s="48">
        <f t="shared" si="13"/>
        <v>4.271225392054574E-05</v>
      </c>
      <c r="AG162" s="49">
        <f t="shared" si="14"/>
        <v>0</v>
      </c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23:48" ht="12.75">
      <c r="W163" s="35"/>
      <c r="X163" s="35"/>
      <c r="Y163" s="35"/>
      <c r="Z163" s="35"/>
      <c r="AA163" s="57">
        <v>140</v>
      </c>
      <c r="AB163" s="35">
        <v>140</v>
      </c>
      <c r="AC163" s="65">
        <f t="shared" si="10"/>
        <v>0</v>
      </c>
      <c r="AD163" s="64">
        <f t="shared" si="11"/>
        <v>1</v>
      </c>
      <c r="AE163" s="48">
        <f t="shared" si="12"/>
        <v>1.3619978928745457E-05</v>
      </c>
      <c r="AF163" s="48">
        <f t="shared" si="13"/>
        <v>4.271225392054574E-05</v>
      </c>
      <c r="AG163" s="49">
        <f t="shared" si="14"/>
        <v>0</v>
      </c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23:48" ht="12.75">
      <c r="W164" s="35"/>
      <c r="X164" s="35"/>
      <c r="Y164" s="35"/>
      <c r="Z164" s="35"/>
      <c r="AA164" s="57">
        <v>141</v>
      </c>
      <c r="AB164" s="35">
        <v>141</v>
      </c>
      <c r="AC164" s="65">
        <f t="shared" si="10"/>
        <v>0</v>
      </c>
      <c r="AD164" s="64">
        <f t="shared" si="11"/>
        <v>1</v>
      </c>
      <c r="AE164" s="48">
        <f t="shared" si="12"/>
        <v>1.3619978928745457E-05</v>
      </c>
      <c r="AF164" s="48">
        <f t="shared" si="13"/>
        <v>4.271225392054574E-05</v>
      </c>
      <c r="AG164" s="49">
        <f t="shared" si="14"/>
        <v>0</v>
      </c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23:48" ht="12.75">
      <c r="W165" s="35"/>
      <c r="X165" s="35"/>
      <c r="Y165" s="35"/>
      <c r="Z165" s="35"/>
      <c r="AA165" s="57">
        <v>142</v>
      </c>
      <c r="AB165" s="35">
        <v>142</v>
      </c>
      <c r="AC165" s="65">
        <f t="shared" si="10"/>
        <v>0</v>
      </c>
      <c r="AD165" s="64">
        <f t="shared" si="11"/>
        <v>1</v>
      </c>
      <c r="AE165" s="48">
        <f t="shared" si="12"/>
        <v>1.3619978928745457E-05</v>
      </c>
      <c r="AF165" s="48">
        <f t="shared" si="13"/>
        <v>4.271225392054574E-05</v>
      </c>
      <c r="AG165" s="49">
        <f t="shared" si="14"/>
        <v>0</v>
      </c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23:48" ht="12.75">
      <c r="W166" s="35"/>
      <c r="X166" s="35"/>
      <c r="Y166" s="35"/>
      <c r="Z166" s="35"/>
      <c r="AA166" s="57">
        <v>143</v>
      </c>
      <c r="AB166" s="35">
        <v>143</v>
      </c>
      <c r="AC166" s="65">
        <f t="shared" si="10"/>
        <v>0</v>
      </c>
      <c r="AD166" s="64">
        <f t="shared" si="11"/>
        <v>1</v>
      </c>
      <c r="AE166" s="48">
        <f t="shared" si="12"/>
        <v>1.3619978928745457E-05</v>
      </c>
      <c r="AF166" s="48">
        <f t="shared" si="13"/>
        <v>4.271225392054574E-05</v>
      </c>
      <c r="AG166" s="49">
        <f t="shared" si="14"/>
        <v>0</v>
      </c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23:48" ht="12.75">
      <c r="W167" s="35"/>
      <c r="X167" s="35"/>
      <c r="Y167" s="35"/>
      <c r="Z167" s="35"/>
      <c r="AA167" s="57">
        <v>144</v>
      </c>
      <c r="AB167" s="35">
        <v>144</v>
      </c>
      <c r="AC167" s="65">
        <f t="shared" si="10"/>
        <v>0</v>
      </c>
      <c r="AD167" s="64">
        <f t="shared" si="11"/>
        <v>1</v>
      </c>
      <c r="AE167" s="48">
        <f t="shared" si="12"/>
        <v>1.3619978928745457E-05</v>
      </c>
      <c r="AF167" s="48">
        <f t="shared" si="13"/>
        <v>4.271225392054574E-05</v>
      </c>
      <c r="AG167" s="49">
        <f t="shared" si="14"/>
        <v>0</v>
      </c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23:48" ht="12.75">
      <c r="W168" s="35"/>
      <c r="X168" s="35"/>
      <c r="Y168" s="35"/>
      <c r="Z168" s="35"/>
      <c r="AA168" s="57">
        <v>145</v>
      </c>
      <c r="AB168" s="35">
        <v>145</v>
      </c>
      <c r="AC168" s="65">
        <f t="shared" si="10"/>
        <v>0</v>
      </c>
      <c r="AD168" s="64">
        <f t="shared" si="11"/>
        <v>1</v>
      </c>
      <c r="AE168" s="48">
        <f t="shared" si="12"/>
        <v>1.3619978928745457E-05</v>
      </c>
      <c r="AF168" s="48">
        <f t="shared" si="13"/>
        <v>4.271225392054574E-05</v>
      </c>
      <c r="AG168" s="49">
        <f t="shared" si="14"/>
        <v>0</v>
      </c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23:48" ht="12.75">
      <c r="W169" s="35"/>
      <c r="X169" s="35"/>
      <c r="Y169" s="35"/>
      <c r="Z169" s="35"/>
      <c r="AA169" s="57">
        <v>146</v>
      </c>
      <c r="AB169" s="35">
        <v>146</v>
      </c>
      <c r="AC169" s="65">
        <f t="shared" si="10"/>
        <v>0</v>
      </c>
      <c r="AD169" s="64">
        <f t="shared" si="11"/>
        <v>1</v>
      </c>
      <c r="AE169" s="48">
        <f t="shared" si="12"/>
        <v>1.3619978928745457E-05</v>
      </c>
      <c r="AF169" s="48">
        <f t="shared" si="13"/>
        <v>4.271225392054574E-05</v>
      </c>
      <c r="AG169" s="49">
        <f t="shared" si="14"/>
        <v>0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23:48" ht="12.75">
      <c r="W170" s="35"/>
      <c r="X170" s="35"/>
      <c r="Y170" s="35"/>
      <c r="Z170" s="35"/>
      <c r="AA170" s="57">
        <v>147</v>
      </c>
      <c r="AB170" s="35">
        <v>147</v>
      </c>
      <c r="AC170" s="65">
        <f t="shared" si="10"/>
        <v>0</v>
      </c>
      <c r="AD170" s="64">
        <f t="shared" si="11"/>
        <v>1</v>
      </c>
      <c r="AE170" s="48">
        <f t="shared" si="12"/>
        <v>1.3619978928745457E-05</v>
      </c>
      <c r="AF170" s="48">
        <f t="shared" si="13"/>
        <v>4.271225392054574E-05</v>
      </c>
      <c r="AG170" s="49">
        <f t="shared" si="14"/>
        <v>0</v>
      </c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23:48" ht="12.75">
      <c r="W171" s="35"/>
      <c r="X171" s="35"/>
      <c r="Y171" s="35"/>
      <c r="Z171" s="35"/>
      <c r="AA171" s="57">
        <v>148</v>
      </c>
      <c r="AB171" s="35">
        <v>148</v>
      </c>
      <c r="AC171" s="65">
        <f t="shared" si="10"/>
        <v>0</v>
      </c>
      <c r="AD171" s="64">
        <f t="shared" si="11"/>
        <v>1</v>
      </c>
      <c r="AE171" s="48">
        <f t="shared" si="12"/>
        <v>1.3619978928745457E-05</v>
      </c>
      <c r="AF171" s="48">
        <f t="shared" si="13"/>
        <v>4.271225392054574E-05</v>
      </c>
      <c r="AG171" s="49">
        <f t="shared" si="14"/>
        <v>0</v>
      </c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23:48" ht="12.75">
      <c r="W172" s="35"/>
      <c r="X172" s="35"/>
      <c r="Y172" s="35"/>
      <c r="Z172" s="35"/>
      <c r="AA172" s="57">
        <v>149</v>
      </c>
      <c r="AB172" s="35">
        <v>149</v>
      </c>
      <c r="AC172" s="65">
        <f t="shared" si="10"/>
        <v>0</v>
      </c>
      <c r="AD172" s="64">
        <f t="shared" si="11"/>
        <v>1</v>
      </c>
      <c r="AE172" s="48">
        <f t="shared" si="12"/>
        <v>1.3619978928745457E-05</v>
      </c>
      <c r="AF172" s="48">
        <f t="shared" si="13"/>
        <v>4.271225392054574E-05</v>
      </c>
      <c r="AG172" s="49">
        <f t="shared" si="14"/>
        <v>0</v>
      </c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23:48" ht="12.75">
      <c r="W173" s="35"/>
      <c r="X173" s="35"/>
      <c r="Y173" s="35"/>
      <c r="Z173" s="35"/>
      <c r="AA173" s="57">
        <v>150</v>
      </c>
      <c r="AB173" s="35">
        <v>150</v>
      </c>
      <c r="AC173" s="65">
        <f t="shared" si="10"/>
        <v>0</v>
      </c>
      <c r="AD173" s="64">
        <f t="shared" si="11"/>
        <v>1</v>
      </c>
      <c r="AE173" s="48">
        <f t="shared" si="12"/>
        <v>1.3619978928745457E-05</v>
      </c>
      <c r="AF173" s="48">
        <f t="shared" si="13"/>
        <v>4.271225392054574E-05</v>
      </c>
      <c r="AG173" s="49">
        <f t="shared" si="14"/>
        <v>0</v>
      </c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23:48" ht="12.75">
      <c r="W174" s="35"/>
      <c r="X174" s="35"/>
      <c r="Y174" s="35"/>
      <c r="Z174" s="35"/>
      <c r="AA174" s="57">
        <v>151</v>
      </c>
      <c r="AB174" s="35">
        <v>151</v>
      </c>
      <c r="AC174" s="65">
        <f t="shared" si="10"/>
        <v>0</v>
      </c>
      <c r="AD174" s="64">
        <f t="shared" si="11"/>
        <v>1</v>
      </c>
      <c r="AE174" s="48">
        <f t="shared" si="12"/>
        <v>1.3619978928745457E-05</v>
      </c>
      <c r="AF174" s="48">
        <f t="shared" si="13"/>
        <v>4.271225392054574E-05</v>
      </c>
      <c r="AG174" s="49">
        <f t="shared" si="14"/>
        <v>0</v>
      </c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23:48" ht="12.75">
      <c r="W175" s="35"/>
      <c r="X175" s="35"/>
      <c r="Y175" s="35"/>
      <c r="Z175" s="35"/>
      <c r="AA175" s="57">
        <v>152</v>
      </c>
      <c r="AB175" s="35">
        <v>152</v>
      </c>
      <c r="AC175" s="65">
        <f t="shared" si="10"/>
        <v>0</v>
      </c>
      <c r="AD175" s="64">
        <f t="shared" si="11"/>
        <v>1</v>
      </c>
      <c r="AE175" s="48">
        <f t="shared" si="12"/>
        <v>1.3619978928745457E-05</v>
      </c>
      <c r="AF175" s="48">
        <f t="shared" si="13"/>
        <v>4.271225392054574E-05</v>
      </c>
      <c r="AG175" s="49">
        <f t="shared" si="14"/>
        <v>0</v>
      </c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</row>
    <row r="176" spans="23:48" ht="12.75">
      <c r="W176" s="35"/>
      <c r="X176" s="35"/>
      <c r="Y176" s="35"/>
      <c r="Z176" s="35"/>
      <c r="AA176" s="57">
        <v>153</v>
      </c>
      <c r="AB176" s="35">
        <v>153</v>
      </c>
      <c r="AC176" s="65">
        <f t="shared" si="10"/>
        <v>0</v>
      </c>
      <c r="AD176" s="64">
        <f t="shared" si="11"/>
        <v>1</v>
      </c>
      <c r="AE176" s="48">
        <f t="shared" si="12"/>
        <v>1.3619978928745457E-05</v>
      </c>
      <c r="AF176" s="48">
        <f t="shared" si="13"/>
        <v>4.271225392054574E-05</v>
      </c>
      <c r="AG176" s="49">
        <f t="shared" si="14"/>
        <v>0</v>
      </c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23:48" ht="12.75">
      <c r="W177" s="35"/>
      <c r="X177" s="35"/>
      <c r="Y177" s="35"/>
      <c r="Z177" s="35"/>
      <c r="AA177" s="57">
        <v>154</v>
      </c>
      <c r="AB177" s="35">
        <v>154</v>
      </c>
      <c r="AC177" s="65">
        <f t="shared" si="10"/>
        <v>0</v>
      </c>
      <c r="AD177" s="64">
        <f t="shared" si="11"/>
        <v>1</v>
      </c>
      <c r="AE177" s="48">
        <f t="shared" si="12"/>
        <v>1.3619978928745457E-05</v>
      </c>
      <c r="AF177" s="48">
        <f t="shared" si="13"/>
        <v>4.271225392054574E-05</v>
      </c>
      <c r="AG177" s="49">
        <f t="shared" si="14"/>
        <v>0</v>
      </c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</row>
    <row r="178" spans="23:48" ht="12.75">
      <c r="W178" s="35"/>
      <c r="X178" s="35"/>
      <c r="Y178" s="35"/>
      <c r="Z178" s="35"/>
      <c r="AA178" s="57">
        <v>155</v>
      </c>
      <c r="AB178" s="35">
        <v>155</v>
      </c>
      <c r="AC178" s="65">
        <f t="shared" si="10"/>
        <v>0</v>
      </c>
      <c r="AD178" s="64">
        <f t="shared" si="11"/>
        <v>1</v>
      </c>
      <c r="AE178" s="48">
        <f t="shared" si="12"/>
        <v>1.3619978928745457E-05</v>
      </c>
      <c r="AF178" s="48">
        <f t="shared" si="13"/>
        <v>4.271225392054574E-05</v>
      </c>
      <c r="AG178" s="49">
        <f t="shared" si="14"/>
        <v>0</v>
      </c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</row>
    <row r="179" spans="23:48" ht="12.75">
      <c r="W179" s="35"/>
      <c r="X179" s="35"/>
      <c r="Y179" s="35"/>
      <c r="Z179" s="35"/>
      <c r="AA179" s="57">
        <v>156</v>
      </c>
      <c r="AB179" s="35">
        <v>156</v>
      </c>
      <c r="AC179" s="65">
        <f t="shared" si="10"/>
        <v>0</v>
      </c>
      <c r="AD179" s="64">
        <f t="shared" si="11"/>
        <v>1</v>
      </c>
      <c r="AE179" s="48">
        <f t="shared" si="12"/>
        <v>1.3619978928745457E-05</v>
      </c>
      <c r="AF179" s="48">
        <f t="shared" si="13"/>
        <v>4.271225392054574E-05</v>
      </c>
      <c r="AG179" s="49">
        <f t="shared" si="14"/>
        <v>0</v>
      </c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</row>
    <row r="180" spans="23:48" ht="12.75">
      <c r="W180" s="35"/>
      <c r="X180" s="35"/>
      <c r="Y180" s="35"/>
      <c r="Z180" s="35"/>
      <c r="AA180" s="57">
        <v>157</v>
      </c>
      <c r="AB180" s="35">
        <v>157</v>
      </c>
      <c r="AC180" s="65">
        <f t="shared" si="10"/>
        <v>0</v>
      </c>
      <c r="AD180" s="64">
        <f t="shared" si="11"/>
        <v>1</v>
      </c>
      <c r="AE180" s="48">
        <f t="shared" si="12"/>
        <v>1.3619978928745457E-05</v>
      </c>
      <c r="AF180" s="48">
        <f t="shared" si="13"/>
        <v>4.271225392054574E-05</v>
      </c>
      <c r="AG180" s="49">
        <f t="shared" si="14"/>
        <v>0</v>
      </c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</row>
    <row r="181" spans="23:48" ht="12.75">
      <c r="W181" s="35"/>
      <c r="X181" s="35"/>
      <c r="Y181" s="35"/>
      <c r="Z181" s="35"/>
      <c r="AA181" s="57">
        <v>158</v>
      </c>
      <c r="AB181" s="35">
        <v>158</v>
      </c>
      <c r="AC181" s="65">
        <f t="shared" si="10"/>
        <v>0</v>
      </c>
      <c r="AD181" s="64">
        <f t="shared" si="11"/>
        <v>1</v>
      </c>
      <c r="AE181" s="48">
        <f t="shared" si="12"/>
        <v>1.3619978928745457E-05</v>
      </c>
      <c r="AF181" s="48">
        <f t="shared" si="13"/>
        <v>4.271225392054574E-05</v>
      </c>
      <c r="AG181" s="49">
        <f t="shared" si="14"/>
        <v>0</v>
      </c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</row>
    <row r="182" spans="23:48" ht="12.75">
      <c r="W182" s="35"/>
      <c r="X182" s="35"/>
      <c r="Y182" s="35"/>
      <c r="Z182" s="35"/>
      <c r="AA182" s="57">
        <v>159</v>
      </c>
      <c r="AB182" s="35">
        <v>159</v>
      </c>
      <c r="AC182" s="65">
        <f t="shared" si="10"/>
        <v>0</v>
      </c>
      <c r="AD182" s="64">
        <f t="shared" si="11"/>
        <v>1</v>
      </c>
      <c r="AE182" s="48">
        <f t="shared" si="12"/>
        <v>1.3619978928745457E-05</v>
      </c>
      <c r="AF182" s="48">
        <f t="shared" si="13"/>
        <v>4.271225392054574E-05</v>
      </c>
      <c r="AG182" s="49">
        <f t="shared" si="14"/>
        <v>0</v>
      </c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23:48" ht="12.75">
      <c r="W183" s="35"/>
      <c r="X183" s="35"/>
      <c r="Y183" s="35"/>
      <c r="Z183" s="35"/>
      <c r="AA183" s="57">
        <v>160</v>
      </c>
      <c r="AB183" s="35">
        <v>160</v>
      </c>
      <c r="AC183" s="65">
        <f t="shared" si="10"/>
        <v>0</v>
      </c>
      <c r="AD183" s="64">
        <f t="shared" si="11"/>
        <v>1</v>
      </c>
      <c r="AE183" s="48">
        <f t="shared" si="12"/>
        <v>1.3619978928745457E-05</v>
      </c>
      <c r="AF183" s="48">
        <f t="shared" si="13"/>
        <v>4.271225392054574E-05</v>
      </c>
      <c r="AG183" s="49">
        <f t="shared" si="14"/>
        <v>0</v>
      </c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</row>
    <row r="184" spans="23:48" ht="12.75">
      <c r="W184" s="35"/>
      <c r="X184" s="35"/>
      <c r="Y184" s="35"/>
      <c r="Z184" s="35"/>
      <c r="AA184" s="57">
        <v>161</v>
      </c>
      <c r="AB184" s="35">
        <v>161</v>
      </c>
      <c r="AC184" s="65">
        <f t="shared" si="10"/>
        <v>0</v>
      </c>
      <c r="AD184" s="64">
        <f t="shared" si="11"/>
        <v>1</v>
      </c>
      <c r="AE184" s="48">
        <f t="shared" si="12"/>
        <v>1.3619978928745457E-05</v>
      </c>
      <c r="AF184" s="48">
        <f t="shared" si="13"/>
        <v>4.271225392054574E-05</v>
      </c>
      <c r="AG184" s="49">
        <f t="shared" si="14"/>
        <v>0</v>
      </c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23:48" ht="12.75">
      <c r="W185" s="35"/>
      <c r="X185" s="35"/>
      <c r="Y185" s="35"/>
      <c r="Z185" s="35"/>
      <c r="AA185" s="57">
        <v>162</v>
      </c>
      <c r="AB185" s="35">
        <v>162</v>
      </c>
      <c r="AC185" s="65">
        <f t="shared" si="10"/>
        <v>0</v>
      </c>
      <c r="AD185" s="64">
        <f t="shared" si="11"/>
        <v>1</v>
      </c>
      <c r="AE185" s="48">
        <f t="shared" si="12"/>
        <v>1.3619978928745457E-05</v>
      </c>
      <c r="AF185" s="48">
        <f t="shared" si="13"/>
        <v>4.271225392054574E-05</v>
      </c>
      <c r="AG185" s="49">
        <f t="shared" si="14"/>
        <v>0</v>
      </c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23:48" ht="12.75">
      <c r="W186" s="35"/>
      <c r="X186" s="35"/>
      <c r="Y186" s="35"/>
      <c r="Z186" s="35"/>
      <c r="AA186" s="57">
        <v>163</v>
      </c>
      <c r="AB186" s="35">
        <v>163</v>
      </c>
      <c r="AC186" s="65">
        <f t="shared" si="10"/>
        <v>0</v>
      </c>
      <c r="AD186" s="64">
        <f t="shared" si="11"/>
        <v>1</v>
      </c>
      <c r="AE186" s="48">
        <f t="shared" si="12"/>
        <v>1.3619978928745457E-05</v>
      </c>
      <c r="AF186" s="48">
        <f t="shared" si="13"/>
        <v>4.271225392054574E-05</v>
      </c>
      <c r="AG186" s="49">
        <f t="shared" si="14"/>
        <v>0</v>
      </c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23:48" ht="12.75">
      <c r="W187" s="35"/>
      <c r="X187" s="35"/>
      <c r="Y187" s="35"/>
      <c r="Z187" s="35"/>
      <c r="AA187" s="57">
        <v>164</v>
      </c>
      <c r="AB187" s="35">
        <v>164</v>
      </c>
      <c r="AC187" s="65">
        <f t="shared" si="10"/>
        <v>0</v>
      </c>
      <c r="AD187" s="64">
        <f t="shared" si="11"/>
        <v>1</v>
      </c>
      <c r="AE187" s="48">
        <f t="shared" si="12"/>
        <v>1.3619978928745457E-05</v>
      </c>
      <c r="AF187" s="48">
        <f t="shared" si="13"/>
        <v>4.271225392054574E-05</v>
      </c>
      <c r="AG187" s="49">
        <f t="shared" si="14"/>
        <v>0</v>
      </c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23:48" ht="12.75">
      <c r="W188" s="35"/>
      <c r="X188" s="35"/>
      <c r="Y188" s="35"/>
      <c r="Z188" s="35"/>
      <c r="AA188" s="57">
        <v>165</v>
      </c>
      <c r="AB188" s="35">
        <v>165</v>
      </c>
      <c r="AC188" s="65">
        <f t="shared" si="10"/>
        <v>0</v>
      </c>
      <c r="AD188" s="64">
        <f t="shared" si="11"/>
        <v>1</v>
      </c>
      <c r="AE188" s="48">
        <f t="shared" si="12"/>
        <v>1.3619978928745457E-05</v>
      </c>
      <c r="AF188" s="48">
        <f t="shared" si="13"/>
        <v>4.271225392054574E-05</v>
      </c>
      <c r="AG188" s="49">
        <f t="shared" si="14"/>
        <v>0</v>
      </c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23:48" ht="12.75">
      <c r="W189" s="35"/>
      <c r="X189" s="35"/>
      <c r="Y189" s="35"/>
      <c r="Z189" s="35"/>
      <c r="AA189" s="57">
        <v>166</v>
      </c>
      <c r="AB189" s="35">
        <v>166</v>
      </c>
      <c r="AC189" s="65">
        <f t="shared" si="10"/>
        <v>0</v>
      </c>
      <c r="AD189" s="64">
        <f t="shared" si="11"/>
        <v>1</v>
      </c>
      <c r="AE189" s="48">
        <f t="shared" si="12"/>
        <v>1.3619978928745457E-05</v>
      </c>
      <c r="AF189" s="48">
        <f t="shared" si="13"/>
        <v>4.271225392054574E-05</v>
      </c>
      <c r="AG189" s="49">
        <f t="shared" si="14"/>
        <v>0</v>
      </c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23:48" ht="12.75">
      <c r="W190" s="35"/>
      <c r="X190" s="35"/>
      <c r="Y190" s="35"/>
      <c r="Z190" s="35"/>
      <c r="AA190" s="57">
        <v>167</v>
      </c>
      <c r="AB190" s="35">
        <v>167</v>
      </c>
      <c r="AC190" s="65">
        <f t="shared" si="10"/>
        <v>0</v>
      </c>
      <c r="AD190" s="64">
        <f t="shared" si="11"/>
        <v>1</v>
      </c>
      <c r="AE190" s="48">
        <f t="shared" si="12"/>
        <v>1.3619978928745457E-05</v>
      </c>
      <c r="AF190" s="48">
        <f t="shared" si="13"/>
        <v>4.271225392054574E-05</v>
      </c>
      <c r="AG190" s="49">
        <f t="shared" si="14"/>
        <v>0</v>
      </c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</row>
    <row r="191" spans="23:48" ht="12.75">
      <c r="W191" s="35"/>
      <c r="X191" s="35"/>
      <c r="Y191" s="35"/>
      <c r="Z191" s="35"/>
      <c r="AA191" s="57">
        <v>168</v>
      </c>
      <c r="AB191" s="35">
        <v>168</v>
      </c>
      <c r="AC191" s="65">
        <f t="shared" si="10"/>
        <v>0</v>
      </c>
      <c r="AD191" s="64">
        <f t="shared" si="11"/>
        <v>1</v>
      </c>
      <c r="AE191" s="48">
        <f t="shared" si="12"/>
        <v>1.3619978928745457E-05</v>
      </c>
      <c r="AF191" s="48">
        <f t="shared" si="13"/>
        <v>4.271225392054574E-05</v>
      </c>
      <c r="AG191" s="49">
        <f t="shared" si="14"/>
        <v>0</v>
      </c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23:48" ht="12.75">
      <c r="W192" s="35"/>
      <c r="X192" s="35"/>
      <c r="Y192" s="35"/>
      <c r="Z192" s="35"/>
      <c r="AA192" s="57">
        <v>169</v>
      </c>
      <c r="AB192" s="35">
        <v>169</v>
      </c>
      <c r="AC192" s="65">
        <f t="shared" si="10"/>
        <v>0</v>
      </c>
      <c r="AD192" s="64">
        <f t="shared" si="11"/>
        <v>1</v>
      </c>
      <c r="AE192" s="48">
        <f t="shared" si="12"/>
        <v>1.3619978928745457E-05</v>
      </c>
      <c r="AF192" s="48">
        <f t="shared" si="13"/>
        <v>4.271225392054574E-05</v>
      </c>
      <c r="AG192" s="49">
        <f t="shared" si="14"/>
        <v>0</v>
      </c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23:48" ht="12.75">
      <c r="W193" s="35"/>
      <c r="X193" s="35"/>
      <c r="Y193" s="35"/>
      <c r="Z193" s="35"/>
      <c r="AA193" s="57">
        <v>170</v>
      </c>
      <c r="AB193" s="35">
        <v>170</v>
      </c>
      <c r="AC193" s="65">
        <f t="shared" si="10"/>
        <v>0</v>
      </c>
      <c r="AD193" s="64">
        <f t="shared" si="11"/>
        <v>1</v>
      </c>
      <c r="AE193" s="48">
        <f t="shared" si="12"/>
        <v>1.3619978928745457E-05</v>
      </c>
      <c r="AF193" s="48">
        <f t="shared" si="13"/>
        <v>4.271225392054574E-05</v>
      </c>
      <c r="AG193" s="49">
        <f t="shared" si="14"/>
        <v>0</v>
      </c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</row>
    <row r="194" spans="23:48" ht="12.75">
      <c r="W194" s="35"/>
      <c r="X194" s="35"/>
      <c r="Y194" s="35"/>
      <c r="Z194" s="35"/>
      <c r="AA194" s="57">
        <v>171</v>
      </c>
      <c r="AB194" s="35">
        <v>171</v>
      </c>
      <c r="AC194" s="65">
        <f t="shared" si="10"/>
        <v>0</v>
      </c>
      <c r="AD194" s="64">
        <f t="shared" si="11"/>
        <v>1</v>
      </c>
      <c r="AE194" s="48">
        <f t="shared" si="12"/>
        <v>1.3619978928745457E-05</v>
      </c>
      <c r="AF194" s="48">
        <f t="shared" si="13"/>
        <v>4.271225392054574E-05</v>
      </c>
      <c r="AG194" s="49">
        <f t="shared" si="14"/>
        <v>0</v>
      </c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23:48" ht="12.75">
      <c r="W195" s="35"/>
      <c r="X195" s="35"/>
      <c r="Y195" s="35"/>
      <c r="Z195" s="35"/>
      <c r="AA195" s="57">
        <v>172</v>
      </c>
      <c r="AB195" s="35">
        <v>172</v>
      </c>
      <c r="AC195" s="65">
        <f t="shared" si="10"/>
        <v>0</v>
      </c>
      <c r="AD195" s="64">
        <f t="shared" si="11"/>
        <v>1</v>
      </c>
      <c r="AE195" s="48">
        <f t="shared" si="12"/>
        <v>1.3619978928745457E-05</v>
      </c>
      <c r="AF195" s="48">
        <f t="shared" si="13"/>
        <v>4.271225392054574E-05</v>
      </c>
      <c r="AG195" s="49">
        <f t="shared" si="14"/>
        <v>0</v>
      </c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</row>
    <row r="196" spans="23:48" ht="12.75">
      <c r="W196" s="35"/>
      <c r="X196" s="35"/>
      <c r="Y196" s="35"/>
      <c r="Z196" s="35"/>
      <c r="AA196" s="57">
        <v>173</v>
      </c>
      <c r="AB196" s="35">
        <v>173</v>
      </c>
      <c r="AC196" s="65">
        <f t="shared" si="10"/>
        <v>0</v>
      </c>
      <c r="AD196" s="64">
        <f t="shared" si="11"/>
        <v>1</v>
      </c>
      <c r="AE196" s="48">
        <f t="shared" si="12"/>
        <v>1.3619978928745457E-05</v>
      </c>
      <c r="AF196" s="48">
        <f t="shared" si="13"/>
        <v>4.271225392054574E-05</v>
      </c>
      <c r="AG196" s="49">
        <f t="shared" si="14"/>
        <v>0</v>
      </c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23:48" ht="12.75">
      <c r="W197" s="35"/>
      <c r="X197" s="35"/>
      <c r="Y197" s="35"/>
      <c r="Z197" s="35"/>
      <c r="AA197" s="57">
        <v>174</v>
      </c>
      <c r="AB197" s="35">
        <v>174</v>
      </c>
      <c r="AC197" s="65">
        <f t="shared" si="10"/>
        <v>0</v>
      </c>
      <c r="AD197" s="64">
        <f t="shared" si="11"/>
        <v>1</v>
      </c>
      <c r="AE197" s="48">
        <f t="shared" si="12"/>
        <v>1.3619978928745457E-05</v>
      </c>
      <c r="AF197" s="48">
        <f t="shared" si="13"/>
        <v>4.271225392054574E-05</v>
      </c>
      <c r="AG197" s="49">
        <f t="shared" si="14"/>
        <v>0</v>
      </c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23:48" ht="12.75">
      <c r="W198" s="35"/>
      <c r="X198" s="35"/>
      <c r="Y198" s="35"/>
      <c r="Z198" s="35"/>
      <c r="AA198" s="57">
        <v>175</v>
      </c>
      <c r="AB198" s="35">
        <v>175</v>
      </c>
      <c r="AC198" s="65">
        <f t="shared" si="10"/>
        <v>0</v>
      </c>
      <c r="AD198" s="64">
        <f t="shared" si="11"/>
        <v>1</v>
      </c>
      <c r="AE198" s="48">
        <f t="shared" si="12"/>
        <v>1.3619978928745457E-05</v>
      </c>
      <c r="AF198" s="48">
        <f t="shared" si="13"/>
        <v>4.271225392054574E-05</v>
      </c>
      <c r="AG198" s="49">
        <f t="shared" si="14"/>
        <v>0</v>
      </c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23:48" ht="12.75">
      <c r="W199" s="35"/>
      <c r="X199" s="35"/>
      <c r="Y199" s="35"/>
      <c r="Z199" s="35"/>
      <c r="AA199" s="57">
        <v>176</v>
      </c>
      <c r="AB199" s="35">
        <v>176</v>
      </c>
      <c r="AC199" s="65">
        <f t="shared" si="10"/>
        <v>0</v>
      </c>
      <c r="AD199" s="64">
        <f t="shared" si="11"/>
        <v>1</v>
      </c>
      <c r="AE199" s="48">
        <f t="shared" si="12"/>
        <v>1.3619978928745457E-05</v>
      </c>
      <c r="AF199" s="48">
        <f t="shared" si="13"/>
        <v>4.271225392054574E-05</v>
      </c>
      <c r="AG199" s="49">
        <f t="shared" si="14"/>
        <v>0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23:48" ht="12.75">
      <c r="W200" s="35"/>
      <c r="X200" s="35"/>
      <c r="Y200" s="35"/>
      <c r="Z200" s="35"/>
      <c r="AA200" s="57">
        <v>177</v>
      </c>
      <c r="AB200" s="35">
        <v>177</v>
      </c>
      <c r="AC200" s="65">
        <f t="shared" si="10"/>
        <v>0</v>
      </c>
      <c r="AD200" s="64">
        <f t="shared" si="11"/>
        <v>1</v>
      </c>
      <c r="AE200" s="48">
        <f t="shared" si="12"/>
        <v>1.3619978928745457E-05</v>
      </c>
      <c r="AF200" s="48">
        <f t="shared" si="13"/>
        <v>4.271225392054574E-05</v>
      </c>
      <c r="AG200" s="49">
        <f t="shared" si="14"/>
        <v>0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</row>
    <row r="201" spans="23:48" ht="12.75">
      <c r="W201" s="35"/>
      <c r="X201" s="35"/>
      <c r="Y201" s="35"/>
      <c r="Z201" s="35"/>
      <c r="AA201" s="57">
        <v>178</v>
      </c>
      <c r="AB201" s="35">
        <v>178</v>
      </c>
      <c r="AC201" s="65">
        <f t="shared" si="10"/>
        <v>0</v>
      </c>
      <c r="AD201" s="64">
        <f t="shared" si="11"/>
        <v>1</v>
      </c>
      <c r="AE201" s="48">
        <f t="shared" si="12"/>
        <v>1.3619978928745457E-05</v>
      </c>
      <c r="AF201" s="48">
        <f t="shared" si="13"/>
        <v>4.271225392054574E-05</v>
      </c>
      <c r="AG201" s="49">
        <f t="shared" si="14"/>
        <v>0</v>
      </c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23:48" ht="12.75">
      <c r="W202" s="35"/>
      <c r="X202" s="35"/>
      <c r="Y202" s="35"/>
      <c r="Z202" s="35"/>
      <c r="AA202" s="57">
        <v>179</v>
      </c>
      <c r="AB202" s="35">
        <v>179</v>
      </c>
      <c r="AC202" s="65">
        <f t="shared" si="10"/>
        <v>0</v>
      </c>
      <c r="AD202" s="64">
        <f t="shared" si="11"/>
        <v>1</v>
      </c>
      <c r="AE202" s="48">
        <f t="shared" si="12"/>
        <v>1.3619978928745457E-05</v>
      </c>
      <c r="AF202" s="48">
        <f t="shared" si="13"/>
        <v>4.271225392054574E-05</v>
      </c>
      <c r="AG202" s="49">
        <f t="shared" si="14"/>
        <v>0</v>
      </c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23:48" ht="12.75">
      <c r="W203" s="35"/>
      <c r="X203" s="35"/>
      <c r="Y203" s="35"/>
      <c r="Z203" s="35"/>
      <c r="AA203" s="57">
        <v>180</v>
      </c>
      <c r="AB203" s="35">
        <v>180</v>
      </c>
      <c r="AC203" s="65">
        <f t="shared" si="10"/>
        <v>0</v>
      </c>
      <c r="AD203" s="64">
        <f t="shared" si="11"/>
        <v>1</v>
      </c>
      <c r="AE203" s="48">
        <f t="shared" si="12"/>
        <v>1.3619978928745457E-05</v>
      </c>
      <c r="AF203" s="48">
        <f t="shared" si="13"/>
        <v>4.271225392054574E-05</v>
      </c>
      <c r="AG203" s="49">
        <f t="shared" si="14"/>
        <v>0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23:48" ht="12.75">
      <c r="W204" s="35"/>
      <c r="X204" s="35"/>
      <c r="Y204" s="35"/>
      <c r="Z204" s="35"/>
      <c r="AA204" s="57">
        <v>181</v>
      </c>
      <c r="AB204" s="35">
        <v>181</v>
      </c>
      <c r="AC204" s="65">
        <f t="shared" si="10"/>
        <v>0</v>
      </c>
      <c r="AD204" s="64">
        <f t="shared" si="11"/>
        <v>1</v>
      </c>
      <c r="AE204" s="48">
        <f t="shared" si="12"/>
        <v>1.3619978928745457E-05</v>
      </c>
      <c r="AF204" s="48">
        <f t="shared" si="13"/>
        <v>4.271225392054574E-05</v>
      </c>
      <c r="AG204" s="49">
        <f t="shared" si="14"/>
        <v>0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23:48" ht="12.75">
      <c r="W205" s="35"/>
      <c r="X205" s="35"/>
      <c r="Y205" s="35"/>
      <c r="Z205" s="35"/>
      <c r="AA205" s="57">
        <v>182</v>
      </c>
      <c r="AB205" s="35">
        <v>182</v>
      </c>
      <c r="AC205" s="65">
        <f t="shared" si="10"/>
        <v>0</v>
      </c>
      <c r="AD205" s="64">
        <f t="shared" si="11"/>
        <v>1</v>
      </c>
      <c r="AE205" s="48">
        <f t="shared" si="12"/>
        <v>1.3619978928745457E-05</v>
      </c>
      <c r="AF205" s="48">
        <f t="shared" si="13"/>
        <v>4.271225392054574E-05</v>
      </c>
      <c r="AG205" s="49">
        <f t="shared" si="14"/>
        <v>0</v>
      </c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23:48" ht="12.75">
      <c r="W206" s="35"/>
      <c r="X206" s="35"/>
      <c r="Y206" s="35"/>
      <c r="Z206" s="35"/>
      <c r="AA206" s="57">
        <v>183</v>
      </c>
      <c r="AB206" s="35">
        <v>183</v>
      </c>
      <c r="AC206" s="65">
        <f t="shared" si="10"/>
        <v>0</v>
      </c>
      <c r="AD206" s="64">
        <f t="shared" si="11"/>
        <v>1</v>
      </c>
      <c r="AE206" s="48">
        <f t="shared" si="12"/>
        <v>1.3619978928745457E-05</v>
      </c>
      <c r="AF206" s="48">
        <f t="shared" si="13"/>
        <v>4.271225392054574E-05</v>
      </c>
      <c r="AG206" s="49">
        <f t="shared" si="14"/>
        <v>0</v>
      </c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23:48" ht="12.75">
      <c r="W207" s="35"/>
      <c r="X207" s="35"/>
      <c r="Y207" s="35"/>
      <c r="Z207" s="35"/>
      <c r="AA207" s="57">
        <v>184</v>
      </c>
      <c r="AB207" s="35">
        <v>184</v>
      </c>
      <c r="AC207" s="65">
        <f t="shared" si="10"/>
        <v>0</v>
      </c>
      <c r="AD207" s="64">
        <f t="shared" si="11"/>
        <v>1</v>
      </c>
      <c r="AE207" s="48">
        <f t="shared" si="12"/>
        <v>1.3619978928745457E-05</v>
      </c>
      <c r="AF207" s="48">
        <f t="shared" si="13"/>
        <v>4.271225392054574E-05</v>
      </c>
      <c r="AG207" s="49">
        <f t="shared" si="14"/>
        <v>0</v>
      </c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</row>
    <row r="208" spans="23:48" ht="12.75">
      <c r="W208" s="35"/>
      <c r="X208" s="35"/>
      <c r="Y208" s="35"/>
      <c r="Z208" s="35"/>
      <c r="AA208" s="57">
        <v>185</v>
      </c>
      <c r="AB208" s="35">
        <v>185</v>
      </c>
      <c r="AC208" s="65">
        <f t="shared" si="10"/>
        <v>0</v>
      </c>
      <c r="AD208" s="64">
        <f t="shared" si="11"/>
        <v>1</v>
      </c>
      <c r="AE208" s="48">
        <f t="shared" si="12"/>
        <v>1.3619978928745457E-05</v>
      </c>
      <c r="AF208" s="48">
        <f t="shared" si="13"/>
        <v>4.271225392054574E-05</v>
      </c>
      <c r="AG208" s="49">
        <f t="shared" si="14"/>
        <v>0</v>
      </c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</row>
    <row r="209" spans="23:48" ht="12.75">
      <c r="W209" s="35"/>
      <c r="X209" s="35"/>
      <c r="Y209" s="35"/>
      <c r="Z209" s="35"/>
      <c r="AA209" s="57">
        <v>186</v>
      </c>
      <c r="AB209" s="35">
        <v>186</v>
      </c>
      <c r="AC209" s="65">
        <f t="shared" si="10"/>
        <v>0</v>
      </c>
      <c r="AD209" s="64">
        <f t="shared" si="11"/>
        <v>1</v>
      </c>
      <c r="AE209" s="48">
        <f t="shared" si="12"/>
        <v>1.3619978928745457E-05</v>
      </c>
      <c r="AF209" s="48">
        <f t="shared" si="13"/>
        <v>4.271225392054574E-05</v>
      </c>
      <c r="AG209" s="49">
        <f t="shared" si="14"/>
        <v>0</v>
      </c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</row>
    <row r="210" spans="23:48" ht="12.75">
      <c r="W210" s="35"/>
      <c r="X210" s="35"/>
      <c r="Y210" s="35"/>
      <c r="Z210" s="35"/>
      <c r="AA210" s="57">
        <v>187</v>
      </c>
      <c r="AB210" s="35">
        <v>187</v>
      </c>
      <c r="AC210" s="65">
        <f t="shared" si="10"/>
        <v>0</v>
      </c>
      <c r="AD210" s="64">
        <f t="shared" si="11"/>
        <v>1</v>
      </c>
      <c r="AE210" s="48">
        <f t="shared" si="12"/>
        <v>1.3619978928745457E-05</v>
      </c>
      <c r="AF210" s="48">
        <f t="shared" si="13"/>
        <v>4.271225392054574E-05</v>
      </c>
      <c r="AG210" s="49">
        <f t="shared" si="14"/>
        <v>0</v>
      </c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</row>
    <row r="211" spans="23:48" ht="12.75">
      <c r="W211" s="35"/>
      <c r="X211" s="35"/>
      <c r="Y211" s="35"/>
      <c r="Z211" s="35"/>
      <c r="AA211" s="57">
        <v>188</v>
      </c>
      <c r="AB211" s="35">
        <v>188</v>
      </c>
      <c r="AC211" s="65">
        <f t="shared" si="10"/>
        <v>0</v>
      </c>
      <c r="AD211" s="64">
        <f t="shared" si="11"/>
        <v>1</v>
      </c>
      <c r="AE211" s="48">
        <f t="shared" si="12"/>
        <v>1.3619978928745457E-05</v>
      </c>
      <c r="AF211" s="48">
        <f t="shared" si="13"/>
        <v>4.271225392054574E-05</v>
      </c>
      <c r="AG211" s="49">
        <f t="shared" si="14"/>
        <v>0</v>
      </c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23:48" ht="12.75">
      <c r="W212" s="35"/>
      <c r="X212" s="35"/>
      <c r="Y212" s="35"/>
      <c r="Z212" s="35"/>
      <c r="AA212" s="57">
        <v>189</v>
      </c>
      <c r="AB212" s="35">
        <v>189</v>
      </c>
      <c r="AC212" s="65">
        <f t="shared" si="10"/>
        <v>0</v>
      </c>
      <c r="AD212" s="64">
        <f t="shared" si="11"/>
        <v>1</v>
      </c>
      <c r="AE212" s="48">
        <f t="shared" si="12"/>
        <v>1.3619978928745457E-05</v>
      </c>
      <c r="AF212" s="48">
        <f t="shared" si="13"/>
        <v>4.271225392054574E-05</v>
      </c>
      <c r="AG212" s="49">
        <f t="shared" si="14"/>
        <v>0</v>
      </c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23:48" ht="12.75">
      <c r="W213" s="35"/>
      <c r="X213" s="35"/>
      <c r="Y213" s="35"/>
      <c r="Z213" s="35"/>
      <c r="AA213" s="57">
        <v>190</v>
      </c>
      <c r="AB213" s="35">
        <v>190</v>
      </c>
      <c r="AC213" s="65">
        <f t="shared" si="10"/>
        <v>0</v>
      </c>
      <c r="AD213" s="64">
        <f t="shared" si="11"/>
        <v>1</v>
      </c>
      <c r="AE213" s="48">
        <f t="shared" si="12"/>
        <v>1.3619978928745457E-05</v>
      </c>
      <c r="AF213" s="48">
        <f t="shared" si="13"/>
        <v>4.271225392054574E-05</v>
      </c>
      <c r="AG213" s="49">
        <f t="shared" si="14"/>
        <v>0</v>
      </c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23:48" ht="12.75">
      <c r="W214" s="35"/>
      <c r="X214" s="35"/>
      <c r="Y214" s="35"/>
      <c r="Z214" s="35"/>
      <c r="AA214" s="57">
        <v>191</v>
      </c>
      <c r="AB214" s="35">
        <v>191</v>
      </c>
      <c r="AC214" s="65">
        <f t="shared" si="10"/>
        <v>0</v>
      </c>
      <c r="AD214" s="64">
        <f t="shared" si="11"/>
        <v>1</v>
      </c>
      <c r="AE214" s="48">
        <f t="shared" si="12"/>
        <v>1.3619978928745457E-05</v>
      </c>
      <c r="AF214" s="48">
        <f t="shared" si="13"/>
        <v>4.271225392054574E-05</v>
      </c>
      <c r="AG214" s="49">
        <f t="shared" si="14"/>
        <v>0</v>
      </c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23:48" ht="12.75">
      <c r="W215" s="35"/>
      <c r="X215" s="35"/>
      <c r="Y215" s="35"/>
      <c r="Z215" s="35"/>
      <c r="AA215" s="57">
        <v>192</v>
      </c>
      <c r="AB215" s="35">
        <v>192</v>
      </c>
      <c r="AC215" s="65">
        <f t="shared" si="10"/>
        <v>0</v>
      </c>
      <c r="AD215" s="64">
        <f t="shared" si="11"/>
        <v>1</v>
      </c>
      <c r="AE215" s="48">
        <f t="shared" si="12"/>
        <v>1.3619978928745457E-05</v>
      </c>
      <c r="AF215" s="48">
        <f t="shared" si="13"/>
        <v>4.271225392054574E-05</v>
      </c>
      <c r="AG215" s="49">
        <f t="shared" si="14"/>
        <v>0</v>
      </c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</row>
    <row r="216" spans="23:48" ht="12.75">
      <c r="W216" s="35"/>
      <c r="X216" s="35"/>
      <c r="Y216" s="35"/>
      <c r="Z216" s="35"/>
      <c r="AA216" s="57">
        <v>193</v>
      </c>
      <c r="AB216" s="35">
        <v>193</v>
      </c>
      <c r="AC216" s="65">
        <f aca="true" t="shared" si="15" ref="AC216:AC223">MIN(AB216*$AC$21,$BA$12)</f>
        <v>0</v>
      </c>
      <c r="AD216" s="64">
        <f aca="true" t="shared" si="16" ref="AD216:AD223">$AC$18-0.5*9.81*AC216^2</f>
        <v>1</v>
      </c>
      <c r="AE216" s="48">
        <f aca="true" t="shared" si="17" ref="AE216:AE223">$AC$11*EXP(-$AC$13*(AD216)^2)</f>
        <v>1.3619978928745457E-05</v>
      </c>
      <c r="AF216" s="48">
        <f aca="true" t="shared" si="18" ref="AF216:AF223">IF($Z$25=FALSE,AE216*$AC$7*1000,-AE216*$AC$7*1000)</f>
        <v>4.271225392054574E-05</v>
      </c>
      <c r="AG216" s="49">
        <f t="shared" si="14"/>
        <v>0</v>
      </c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23:48" ht="12.75">
      <c r="W217" s="35"/>
      <c r="X217" s="35"/>
      <c r="Y217" s="35"/>
      <c r="Z217" s="35"/>
      <c r="AA217" s="57">
        <v>194</v>
      </c>
      <c r="AB217" s="35">
        <v>194</v>
      </c>
      <c r="AC217" s="65">
        <f t="shared" si="15"/>
        <v>0</v>
      </c>
      <c r="AD217" s="64">
        <f t="shared" si="16"/>
        <v>1</v>
      </c>
      <c r="AE217" s="48">
        <f t="shared" si="17"/>
        <v>1.3619978928745457E-05</v>
      </c>
      <c r="AF217" s="48">
        <f t="shared" si="18"/>
        <v>4.271225392054574E-05</v>
      </c>
      <c r="AG217" s="49">
        <f t="shared" si="14"/>
        <v>0</v>
      </c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23:48" ht="12.75">
      <c r="W218" s="35"/>
      <c r="X218" s="35"/>
      <c r="Y218" s="35"/>
      <c r="Z218" s="35"/>
      <c r="AA218" s="57">
        <v>195</v>
      </c>
      <c r="AB218" s="35">
        <v>195</v>
      </c>
      <c r="AC218" s="65">
        <f t="shared" si="15"/>
        <v>0</v>
      </c>
      <c r="AD218" s="64">
        <f t="shared" si="16"/>
        <v>1</v>
      </c>
      <c r="AE218" s="48">
        <f t="shared" si="17"/>
        <v>1.3619978928745457E-05</v>
      </c>
      <c r="AF218" s="48">
        <f t="shared" si="18"/>
        <v>4.271225392054574E-05</v>
      </c>
      <c r="AG218" s="49">
        <f>IF($Z$27=TRUE,IF(AC219=AC217,AG217,$AC$8*(AF219-AF217)/(AC219-AC217)/1000),100)</f>
        <v>0</v>
      </c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23:48" ht="12.75">
      <c r="W219" s="35"/>
      <c r="X219" s="35"/>
      <c r="Y219" s="35"/>
      <c r="Z219" s="35"/>
      <c r="AA219" s="57">
        <v>196</v>
      </c>
      <c r="AB219" s="35">
        <v>196</v>
      </c>
      <c r="AC219" s="65">
        <f t="shared" si="15"/>
        <v>0</v>
      </c>
      <c r="AD219" s="64">
        <f t="shared" si="16"/>
        <v>1</v>
      </c>
      <c r="AE219" s="48">
        <f t="shared" si="17"/>
        <v>1.3619978928745457E-05</v>
      </c>
      <c r="AF219" s="48">
        <f t="shared" si="18"/>
        <v>4.271225392054574E-05</v>
      </c>
      <c r="AG219" s="49">
        <f>IF($Z$27=TRUE,IF(AC220=AC218,AG218,$AC$8*(AF220-AF218)/(AC220-AC218)/1000),100)</f>
        <v>0</v>
      </c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23:48" ht="12.75">
      <c r="W220" s="35"/>
      <c r="X220" s="35"/>
      <c r="Y220" s="35"/>
      <c r="Z220" s="35"/>
      <c r="AA220" s="57">
        <v>197</v>
      </c>
      <c r="AB220" s="35">
        <v>197</v>
      </c>
      <c r="AC220" s="65">
        <f t="shared" si="15"/>
        <v>0</v>
      </c>
      <c r="AD220" s="64">
        <f t="shared" si="16"/>
        <v>1</v>
      </c>
      <c r="AE220" s="48">
        <f t="shared" si="17"/>
        <v>1.3619978928745457E-05</v>
      </c>
      <c r="AF220" s="48">
        <f t="shared" si="18"/>
        <v>4.271225392054574E-05</v>
      </c>
      <c r="AG220" s="49">
        <f>IF($Z$27=TRUE,IF(AC221=AC219,AG219,$AC$8*(AF221-AF219)/(AC221-AC219)/1000),100)</f>
        <v>0</v>
      </c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</row>
    <row r="221" spans="23:48" ht="12.75">
      <c r="W221" s="35"/>
      <c r="X221" s="35"/>
      <c r="Y221" s="35"/>
      <c r="Z221" s="35"/>
      <c r="AA221" s="57">
        <v>198</v>
      </c>
      <c r="AB221" s="35">
        <v>198</v>
      </c>
      <c r="AC221" s="65">
        <f t="shared" si="15"/>
        <v>0</v>
      </c>
      <c r="AD221" s="64">
        <f t="shared" si="16"/>
        <v>1</v>
      </c>
      <c r="AE221" s="48">
        <f t="shared" si="17"/>
        <v>1.3619978928745457E-05</v>
      </c>
      <c r="AF221" s="48">
        <f t="shared" si="18"/>
        <v>4.271225392054574E-05</v>
      </c>
      <c r="AG221" s="49">
        <f>IF($Z$27=TRUE,IF(AC222=AC220,AG220,$AC$8*(AF222-AF220)/(AC222-AC220)/1000),100)</f>
        <v>0</v>
      </c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23:48" ht="12.75">
      <c r="W222" s="35"/>
      <c r="X222" s="35"/>
      <c r="Y222" s="35"/>
      <c r="Z222" s="35"/>
      <c r="AA222" s="57">
        <v>199</v>
      </c>
      <c r="AB222" s="35">
        <v>199</v>
      </c>
      <c r="AC222" s="65">
        <f t="shared" si="15"/>
        <v>0</v>
      </c>
      <c r="AD222" s="64">
        <f t="shared" si="16"/>
        <v>1</v>
      </c>
      <c r="AE222" s="48">
        <f t="shared" si="17"/>
        <v>1.3619978928745457E-05</v>
      </c>
      <c r="AF222" s="48">
        <f t="shared" si="18"/>
        <v>4.271225392054574E-05</v>
      </c>
      <c r="AG222" s="49">
        <f>IF($Z$27=TRUE,IF(AC223=AC221,AG221,$AC$8*(AF223-AF221)/(AC223-AC221)/1000),100)</f>
        <v>0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23:48" ht="12.75">
      <c r="W223" s="35"/>
      <c r="X223" s="35"/>
      <c r="Y223" s="35"/>
      <c r="Z223" s="35"/>
      <c r="AA223" s="57">
        <v>200</v>
      </c>
      <c r="AB223" s="35">
        <v>200</v>
      </c>
      <c r="AC223" s="65">
        <f t="shared" si="15"/>
        <v>0</v>
      </c>
      <c r="AD223" s="64">
        <f t="shared" si="16"/>
        <v>1</v>
      </c>
      <c r="AE223" s="48">
        <f t="shared" si="17"/>
        <v>1.3619978928745457E-05</v>
      </c>
      <c r="AF223" s="48">
        <f t="shared" si="18"/>
        <v>4.271225392054574E-05</v>
      </c>
      <c r="AG223" s="49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23:48" ht="12.75">
      <c r="W224" s="35"/>
      <c r="X224" s="35"/>
      <c r="Y224" s="35"/>
      <c r="Z224" s="35"/>
      <c r="AA224" s="35"/>
      <c r="AB224" s="35"/>
      <c r="AC224" s="46"/>
      <c r="AD224" s="47"/>
      <c r="AE224" s="48"/>
      <c r="AF224" s="48"/>
      <c r="AG224" s="49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</row>
    <row r="225" spans="23:48" ht="12.75">
      <c r="W225" s="35"/>
      <c r="X225" s="35"/>
      <c r="Y225" s="35"/>
      <c r="Z225" s="35"/>
      <c r="AA225" s="35"/>
      <c r="AB225" s="35"/>
      <c r="AC225" s="46"/>
      <c r="AD225" s="47"/>
      <c r="AE225" s="48"/>
      <c r="AF225" s="48"/>
      <c r="AG225" s="49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23:48" ht="12.75">
      <c r="W226" s="35"/>
      <c r="X226" s="35"/>
      <c r="Y226" s="35"/>
      <c r="Z226" s="35"/>
      <c r="AA226" s="35"/>
      <c r="AB226" s="35"/>
      <c r="AC226" s="46"/>
      <c r="AD226" s="47"/>
      <c r="AE226" s="48"/>
      <c r="AF226" s="48"/>
      <c r="AG226" s="49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</row>
    <row r="227" spans="29:33" ht="12.75">
      <c r="AC227" s="9"/>
      <c r="AD227" s="10"/>
      <c r="AE227" s="11"/>
      <c r="AF227" s="11"/>
      <c r="AG227" s="12"/>
    </row>
    <row r="228" spans="29:33" ht="12.75">
      <c r="AC228" s="9"/>
      <c r="AD228" s="10"/>
      <c r="AE228" s="11"/>
      <c r="AF228" s="11"/>
      <c r="AG228" s="12"/>
    </row>
    <row r="229" spans="29:33" ht="12.75">
      <c r="AC229" s="9"/>
      <c r="AD229" s="10"/>
      <c r="AE229" s="11"/>
      <c r="AF229" s="11"/>
      <c r="AG229" s="12"/>
    </row>
    <row r="230" spans="29:33" ht="12.75">
      <c r="AC230" s="9"/>
      <c r="AD230" s="10"/>
      <c r="AE230" s="11"/>
      <c r="AF230" s="11"/>
      <c r="AG230" s="12"/>
    </row>
    <row r="231" spans="29:33" ht="12.75">
      <c r="AC231" s="9"/>
      <c r="AD231" s="10"/>
      <c r="AE231" s="11"/>
      <c r="AF231" s="11"/>
      <c r="AG231" s="12"/>
    </row>
    <row r="232" spans="29:33" ht="12.75">
      <c r="AC232" s="9"/>
      <c r="AD232" s="10"/>
      <c r="AE232" s="11"/>
      <c r="AF232" s="11"/>
      <c r="AG232" s="12"/>
    </row>
    <row r="233" spans="29:33" ht="12.75">
      <c r="AC233" s="9"/>
      <c r="AD233" s="10"/>
      <c r="AE233" s="11"/>
      <c r="AF233" s="11"/>
      <c r="AG233" s="12"/>
    </row>
    <row r="234" spans="29:33" ht="12.75">
      <c r="AC234" s="9"/>
      <c r="AD234" s="10"/>
      <c r="AE234" s="11"/>
      <c r="AF234" s="11"/>
      <c r="AG234" s="12"/>
    </row>
    <row r="235" spans="29:33" ht="12.75">
      <c r="AC235" s="9"/>
      <c r="AD235" s="10"/>
      <c r="AE235" s="11"/>
      <c r="AF235" s="11"/>
      <c r="AG235" s="12"/>
    </row>
    <row r="236" spans="29:33" ht="12.75">
      <c r="AC236" s="9"/>
      <c r="AD236" s="10"/>
      <c r="AE236" s="11"/>
      <c r="AF236" s="11"/>
      <c r="AG236" s="12"/>
    </row>
    <row r="237" spans="29:33" ht="12.75">
      <c r="AC237" s="9"/>
      <c r="AD237" s="10"/>
      <c r="AE237" s="11"/>
      <c r="AF237" s="11"/>
      <c r="AG237" s="12"/>
    </row>
    <row r="238" spans="29:33" ht="12.75">
      <c r="AC238" s="9"/>
      <c r="AD238" s="10"/>
      <c r="AE238" s="11"/>
      <c r="AF238" s="11"/>
      <c r="AG238" s="12"/>
    </row>
    <row r="239" spans="29:33" ht="12.75">
      <c r="AC239" s="9"/>
      <c r="AD239" s="10"/>
      <c r="AE239" s="11"/>
      <c r="AF239" s="11"/>
      <c r="AG239" s="12"/>
    </row>
    <row r="240" spans="29:33" ht="12.75">
      <c r="AC240" s="9"/>
      <c r="AD240" s="10"/>
      <c r="AE240" s="11"/>
      <c r="AF240" s="11"/>
      <c r="AG240" s="12"/>
    </row>
    <row r="241" spans="29:33" ht="12.75">
      <c r="AC241" s="9"/>
      <c r="AD241" s="10"/>
      <c r="AE241" s="11"/>
      <c r="AF241" s="11"/>
      <c r="AG241" s="12"/>
    </row>
    <row r="242" spans="29:33" ht="12.75">
      <c r="AC242" s="9"/>
      <c r="AD242" s="10"/>
      <c r="AE242" s="11"/>
      <c r="AF242" s="11"/>
      <c r="AG242" s="12"/>
    </row>
    <row r="243" spans="29:33" ht="12.75">
      <c r="AC243" s="9"/>
      <c r="AD243" s="10"/>
      <c r="AE243" s="11"/>
      <c r="AF243" s="11"/>
      <c r="AG243" s="12"/>
    </row>
    <row r="244" spans="29:33" ht="12.75">
      <c r="AC244" s="9"/>
      <c r="AD244" s="10"/>
      <c r="AE244" s="11"/>
      <c r="AF244" s="11"/>
      <c r="AG244" s="12"/>
    </row>
    <row r="245" spans="29:33" ht="12.75">
      <c r="AC245" s="9"/>
      <c r="AD245" s="10"/>
      <c r="AE245" s="11"/>
      <c r="AF245" s="11"/>
      <c r="AG245" s="12"/>
    </row>
    <row r="246" spans="29:33" ht="12.75">
      <c r="AC246" s="9"/>
      <c r="AD246" s="10"/>
      <c r="AE246" s="11"/>
      <c r="AF246" s="11"/>
      <c r="AG246" s="12"/>
    </row>
    <row r="247" spans="29:33" ht="12.75">
      <c r="AC247" s="9"/>
      <c r="AD247" s="10"/>
      <c r="AE247" s="11"/>
      <c r="AF247" s="11"/>
      <c r="AG247" s="12"/>
    </row>
    <row r="248" spans="29:33" ht="12.75">
      <c r="AC248" s="9"/>
      <c r="AD248" s="10"/>
      <c r="AE248" s="11"/>
      <c r="AF248" s="11"/>
      <c r="AG248" s="12"/>
    </row>
    <row r="249" spans="29:33" ht="12.75">
      <c r="AC249" s="9"/>
      <c r="AD249" s="10"/>
      <c r="AE249" s="11"/>
      <c r="AF249" s="11"/>
      <c r="AG249" s="12"/>
    </row>
    <row r="250" spans="29:33" ht="12.75">
      <c r="AC250" s="9"/>
      <c r="AD250" s="10"/>
      <c r="AE250" s="11"/>
      <c r="AF250" s="11"/>
      <c r="AG250" s="12"/>
    </row>
    <row r="251" spans="29:33" ht="12.75">
      <c r="AC251" s="9"/>
      <c r="AD251" s="10"/>
      <c r="AE251" s="11"/>
      <c r="AF251" s="11"/>
      <c r="AG251" s="12"/>
    </row>
    <row r="252" spans="29:33" ht="12.75">
      <c r="AC252" s="9"/>
      <c r="AD252" s="10"/>
      <c r="AE252" s="11"/>
      <c r="AF252" s="11"/>
      <c r="AG252" s="12"/>
    </row>
    <row r="253" spans="29:33" ht="12.75">
      <c r="AC253" s="9"/>
      <c r="AD253" s="10"/>
      <c r="AE253" s="11"/>
      <c r="AF253" s="11"/>
      <c r="AG253" s="12"/>
    </row>
    <row r="254" spans="29:33" ht="12.75">
      <c r="AC254" s="9"/>
      <c r="AD254" s="10"/>
      <c r="AE254" s="11"/>
      <c r="AF254" s="11"/>
      <c r="AG254" s="12"/>
    </row>
    <row r="255" spans="29:33" ht="12.75">
      <c r="AC255" s="9"/>
      <c r="AD255" s="10"/>
      <c r="AE255" s="11"/>
      <c r="AF255" s="11"/>
      <c r="AG255" s="12"/>
    </row>
    <row r="256" spans="29:33" ht="12.75">
      <c r="AC256" s="9"/>
      <c r="AD256" s="10"/>
      <c r="AE256" s="11"/>
      <c r="AF256" s="11"/>
      <c r="AG256" s="12"/>
    </row>
    <row r="257" spans="29:33" ht="12.75">
      <c r="AC257" s="9"/>
      <c r="AD257" s="10"/>
      <c r="AE257" s="11"/>
      <c r="AF257" s="11"/>
      <c r="AG257" s="12"/>
    </row>
    <row r="258" spans="29:33" ht="12.75">
      <c r="AC258" s="9"/>
      <c r="AD258" s="10"/>
      <c r="AE258" s="11"/>
      <c r="AF258" s="11"/>
      <c r="AG258" s="12"/>
    </row>
    <row r="259" spans="29:33" ht="12.75">
      <c r="AC259" s="9"/>
      <c r="AD259" s="10"/>
      <c r="AE259" s="11"/>
      <c r="AF259" s="11"/>
      <c r="AG259" s="12"/>
    </row>
    <row r="260" spans="29:33" ht="12.75">
      <c r="AC260" s="9"/>
      <c r="AD260" s="10"/>
      <c r="AE260" s="11"/>
      <c r="AF260" s="11"/>
      <c r="AG260" s="12"/>
    </row>
    <row r="261" spans="29:33" ht="12.75">
      <c r="AC261" s="9"/>
      <c r="AD261" s="10"/>
      <c r="AE261" s="11"/>
      <c r="AF261" s="11"/>
      <c r="AG261" s="12"/>
    </row>
    <row r="262" spans="29:33" ht="12.75">
      <c r="AC262" s="9"/>
      <c r="AD262" s="10"/>
      <c r="AE262" s="11"/>
      <c r="AF262" s="11"/>
      <c r="AG262" s="12"/>
    </row>
    <row r="263" spans="29:33" ht="12.75">
      <c r="AC263" s="9"/>
      <c r="AD263" s="10"/>
      <c r="AE263" s="11"/>
      <c r="AF263" s="11"/>
      <c r="AG263" s="12"/>
    </row>
    <row r="264" spans="29:33" ht="12.75">
      <c r="AC264" s="9"/>
      <c r="AD264" s="10"/>
      <c r="AE264" s="11"/>
      <c r="AF264" s="11"/>
      <c r="AG264" s="12"/>
    </row>
    <row r="265" spans="29:33" ht="12.75">
      <c r="AC265" s="9"/>
      <c r="AD265" s="10"/>
      <c r="AE265" s="11"/>
      <c r="AF265" s="11"/>
      <c r="AG265" s="12"/>
    </row>
    <row r="266" spans="29:33" ht="12.75">
      <c r="AC266" s="9"/>
      <c r="AD266" s="10"/>
      <c r="AE266" s="11"/>
      <c r="AF266" s="11"/>
      <c r="AG266" s="12"/>
    </row>
    <row r="267" spans="29:33" ht="12.75">
      <c r="AC267" s="9"/>
      <c r="AD267" s="10"/>
      <c r="AE267" s="11"/>
      <c r="AF267" s="11"/>
      <c r="AG267" s="12"/>
    </row>
    <row r="268" spans="29:33" ht="12.75">
      <c r="AC268" s="9"/>
      <c r="AD268" s="10"/>
      <c r="AE268" s="11"/>
      <c r="AF268" s="11"/>
      <c r="AG268" s="12"/>
    </row>
    <row r="269" spans="29:33" ht="12.75">
      <c r="AC269" s="9"/>
      <c r="AD269" s="10"/>
      <c r="AE269" s="11"/>
      <c r="AF269" s="11"/>
      <c r="AG269" s="12"/>
    </row>
    <row r="270" spans="29:33" ht="12.75">
      <c r="AC270" s="9"/>
      <c r="AD270" s="10"/>
      <c r="AE270" s="11"/>
      <c r="AF270" s="11"/>
      <c r="AG270" s="12"/>
    </row>
    <row r="271" spans="29:33" ht="12.75">
      <c r="AC271" s="9"/>
      <c r="AD271" s="10"/>
      <c r="AE271" s="11"/>
      <c r="AF271" s="11"/>
      <c r="AG271" s="12"/>
    </row>
    <row r="272" spans="29:33" ht="12.75">
      <c r="AC272" s="9"/>
      <c r="AD272" s="10"/>
      <c r="AE272" s="11"/>
      <c r="AF272" s="11"/>
      <c r="AG272" s="12"/>
    </row>
    <row r="273" spans="29:33" ht="12.75">
      <c r="AC273" s="9"/>
      <c r="AD273" s="10"/>
      <c r="AE273" s="11"/>
      <c r="AF273" s="11"/>
      <c r="AG273" s="12"/>
    </row>
    <row r="274" spans="29:33" ht="12.75">
      <c r="AC274" s="9"/>
      <c r="AD274" s="10"/>
      <c r="AE274" s="11"/>
      <c r="AF274" s="11"/>
      <c r="AG274" s="12"/>
    </row>
    <row r="275" spans="29:33" ht="12.75">
      <c r="AC275" s="9"/>
      <c r="AD275" s="10"/>
      <c r="AE275" s="11"/>
      <c r="AF275" s="11"/>
      <c r="AG275" s="12"/>
    </row>
    <row r="276" spans="29:33" ht="12.75">
      <c r="AC276" s="9"/>
      <c r="AD276" s="10"/>
      <c r="AE276" s="11"/>
      <c r="AF276" s="11"/>
      <c r="AG276" s="12"/>
    </row>
    <row r="277" spans="29:33" ht="12.75">
      <c r="AC277" s="9"/>
      <c r="AD277" s="10"/>
      <c r="AE277" s="11"/>
      <c r="AF277" s="11"/>
      <c r="AG277" s="12"/>
    </row>
    <row r="278" spans="29:33" ht="12.75">
      <c r="AC278" s="9"/>
      <c r="AD278" s="10"/>
      <c r="AE278" s="11"/>
      <c r="AF278" s="11"/>
      <c r="AG278" s="12"/>
    </row>
    <row r="279" spans="29:33" ht="12.75">
      <c r="AC279" s="9"/>
      <c r="AD279" s="10"/>
      <c r="AE279" s="11"/>
      <c r="AF279" s="11"/>
      <c r="AG279" s="12"/>
    </row>
    <row r="280" spans="29:33" ht="12.75">
      <c r="AC280" s="9"/>
      <c r="AD280" s="10"/>
      <c r="AE280" s="11"/>
      <c r="AF280" s="11"/>
      <c r="AG280" s="12"/>
    </row>
    <row r="281" spans="29:33" ht="12.75">
      <c r="AC281" s="9"/>
      <c r="AD281" s="10"/>
      <c r="AE281" s="11"/>
      <c r="AF281" s="11"/>
      <c r="AG281" s="12"/>
    </row>
    <row r="282" spans="29:33" ht="12.75">
      <c r="AC282" s="9"/>
      <c r="AD282" s="10"/>
      <c r="AE282" s="11"/>
      <c r="AF282" s="11"/>
      <c r="AG282" s="12"/>
    </row>
    <row r="283" spans="29:33" ht="12.75">
      <c r="AC283" s="9"/>
      <c r="AD283" s="10"/>
      <c r="AE283" s="11"/>
      <c r="AF283" s="11"/>
      <c r="AG283" s="12"/>
    </row>
    <row r="284" spans="29:33" ht="12.75">
      <c r="AC284" s="9"/>
      <c r="AD284" s="10"/>
      <c r="AE284" s="11"/>
      <c r="AF284" s="11"/>
      <c r="AG284" s="12"/>
    </row>
    <row r="285" spans="29:33" ht="12.75">
      <c r="AC285" s="9"/>
      <c r="AD285" s="10"/>
      <c r="AE285" s="11"/>
      <c r="AF285" s="11"/>
      <c r="AG285" s="12"/>
    </row>
    <row r="286" spans="29:33" ht="12.75">
      <c r="AC286" s="9"/>
      <c r="AD286" s="10"/>
      <c r="AE286" s="11"/>
      <c r="AF286" s="11"/>
      <c r="AG286" s="12"/>
    </row>
    <row r="287" spans="29:33" ht="12.75">
      <c r="AC287" s="9"/>
      <c r="AD287" s="10"/>
      <c r="AE287" s="11"/>
      <c r="AF287" s="11"/>
      <c r="AG287" s="12"/>
    </row>
    <row r="288" spans="29:33" ht="12.75">
      <c r="AC288" s="9"/>
      <c r="AD288" s="10"/>
      <c r="AE288" s="11"/>
      <c r="AF288" s="11"/>
      <c r="AG288" s="12"/>
    </row>
    <row r="289" spans="29:33" ht="12.75">
      <c r="AC289" s="9"/>
      <c r="AD289" s="10"/>
      <c r="AE289" s="11"/>
      <c r="AF289" s="11"/>
      <c r="AG289" s="12"/>
    </row>
    <row r="290" spans="29:33" ht="12.75">
      <c r="AC290" s="9"/>
      <c r="AD290" s="10"/>
      <c r="AE290" s="11"/>
      <c r="AF290" s="11"/>
      <c r="AG290" s="12"/>
    </row>
    <row r="291" spans="29:33" ht="12.75">
      <c r="AC291" s="9"/>
      <c r="AD291" s="10"/>
      <c r="AE291" s="11"/>
      <c r="AF291" s="11"/>
      <c r="AG291" s="12"/>
    </row>
    <row r="292" spans="29:33" ht="12.75">
      <c r="AC292" s="9"/>
      <c r="AD292" s="10"/>
      <c r="AE292" s="11"/>
      <c r="AF292" s="11"/>
      <c r="AG292" s="12"/>
    </row>
    <row r="293" spans="29:33" ht="12.75">
      <c r="AC293" s="9"/>
      <c r="AD293" s="10"/>
      <c r="AE293" s="11"/>
      <c r="AF293" s="11"/>
      <c r="AG293" s="12"/>
    </row>
    <row r="294" spans="29:33" ht="12.75">
      <c r="AC294" s="9"/>
      <c r="AD294" s="10"/>
      <c r="AE294" s="11"/>
      <c r="AF294" s="11"/>
      <c r="AG294" s="12"/>
    </row>
    <row r="295" spans="29:33" ht="12.75">
      <c r="AC295" s="9"/>
      <c r="AD295" s="10"/>
      <c r="AE295" s="11"/>
      <c r="AF295" s="11"/>
      <c r="AG295" s="12"/>
    </row>
    <row r="296" spans="29:33" ht="12.75">
      <c r="AC296" s="9"/>
      <c r="AD296" s="10"/>
      <c r="AE296" s="11"/>
      <c r="AF296" s="11"/>
      <c r="AG296" s="12"/>
    </row>
    <row r="297" spans="29:33" ht="12.75">
      <c r="AC297" s="9"/>
      <c r="AD297" s="10"/>
      <c r="AE297" s="11"/>
      <c r="AF297" s="11"/>
      <c r="AG297" s="12"/>
    </row>
    <row r="298" spans="29:33" ht="12.75">
      <c r="AC298" s="9"/>
      <c r="AD298" s="10"/>
      <c r="AE298" s="11"/>
      <c r="AF298" s="11"/>
      <c r="AG298" s="12"/>
    </row>
    <row r="299" spans="29:33" ht="12.75">
      <c r="AC299" s="9"/>
      <c r="AD299" s="10"/>
      <c r="AE299" s="11"/>
      <c r="AF299" s="11"/>
      <c r="AG299" s="12"/>
    </row>
    <row r="300" spans="29:33" ht="12.75">
      <c r="AC300" s="9"/>
      <c r="AD300" s="10"/>
      <c r="AE300" s="11"/>
      <c r="AF300" s="11"/>
      <c r="AG300" s="12"/>
    </row>
    <row r="301" spans="29:33" ht="12.75">
      <c r="AC301" s="9"/>
      <c r="AD301" s="10"/>
      <c r="AE301" s="11"/>
      <c r="AF301" s="11"/>
      <c r="AG301" s="12"/>
    </row>
    <row r="302" spans="29:33" ht="12.75">
      <c r="AC302" s="9"/>
      <c r="AD302" s="10"/>
      <c r="AE302" s="11"/>
      <c r="AF302" s="6"/>
      <c r="AG302" s="12"/>
    </row>
    <row r="303" spans="29:33" ht="12.75">
      <c r="AC303" s="9"/>
      <c r="AD303" s="10"/>
      <c r="AE303" s="11"/>
      <c r="AF303" s="6"/>
      <c r="AG303" s="12"/>
    </row>
    <row r="304" spans="29:33" ht="12.75">
      <c r="AC304" s="9"/>
      <c r="AD304" s="10"/>
      <c r="AE304" s="11"/>
      <c r="AF304" s="6"/>
      <c r="AG304" s="12"/>
    </row>
    <row r="305" spans="29:33" ht="12.75">
      <c r="AC305" s="9"/>
      <c r="AD305" s="10"/>
      <c r="AE305" s="11"/>
      <c r="AF305" s="6"/>
      <c r="AG305" s="12"/>
    </row>
    <row r="306" spans="29:33" ht="12.75">
      <c r="AC306" s="9"/>
      <c r="AD306" s="10"/>
      <c r="AE306" s="11"/>
      <c r="AF306" s="6"/>
      <c r="AG306" s="12"/>
    </row>
    <row r="307" spans="29:33" ht="12.75">
      <c r="AC307" s="9"/>
      <c r="AD307" s="10"/>
      <c r="AE307" s="11"/>
      <c r="AF307" s="6"/>
      <c r="AG307" s="12"/>
    </row>
    <row r="308" spans="29:33" ht="12.75">
      <c r="AC308" s="9"/>
      <c r="AD308" s="10"/>
      <c r="AE308" s="11"/>
      <c r="AF308" s="6"/>
      <c r="AG308" s="12"/>
    </row>
    <row r="309" spans="29:33" ht="12.75">
      <c r="AC309" s="9"/>
      <c r="AD309" s="10"/>
      <c r="AE309" s="11"/>
      <c r="AF309" s="6"/>
      <c r="AG309" s="12"/>
    </row>
    <row r="310" spans="29:33" ht="12.75">
      <c r="AC310" s="9"/>
      <c r="AD310" s="10"/>
      <c r="AE310" s="11"/>
      <c r="AF310" s="6"/>
      <c r="AG310" s="12"/>
    </row>
    <row r="311" spans="29:33" ht="12.75">
      <c r="AC311" s="9"/>
      <c r="AD311" s="10"/>
      <c r="AE311" s="11"/>
      <c r="AF311" s="6"/>
      <c r="AG311" s="12"/>
    </row>
    <row r="312" spans="29:33" ht="12.75">
      <c r="AC312" s="9"/>
      <c r="AD312" s="10"/>
      <c r="AE312" s="11"/>
      <c r="AF312" s="6"/>
      <c r="AG312" s="12"/>
    </row>
    <row r="313" spans="29:33" ht="12.75">
      <c r="AC313" s="9"/>
      <c r="AD313" s="10"/>
      <c r="AE313" s="11"/>
      <c r="AF313" s="6"/>
      <c r="AG313" s="12"/>
    </row>
    <row r="314" spans="29:33" ht="12.75">
      <c r="AC314" s="9"/>
      <c r="AD314" s="10"/>
      <c r="AE314" s="11"/>
      <c r="AF314" s="6"/>
      <c r="AG314" s="12"/>
    </row>
    <row r="315" spans="29:33" ht="12.75">
      <c r="AC315" s="9"/>
      <c r="AD315" s="10"/>
      <c r="AE315" s="11"/>
      <c r="AF315" s="6"/>
      <c r="AG315" s="12"/>
    </row>
    <row r="316" spans="29:33" ht="12.75">
      <c r="AC316" s="9"/>
      <c r="AD316" s="10"/>
      <c r="AE316" s="11"/>
      <c r="AF316" s="6"/>
      <c r="AG316" s="12"/>
    </row>
    <row r="317" spans="29:33" ht="12.75">
      <c r="AC317" s="9"/>
      <c r="AD317" s="10"/>
      <c r="AE317" s="11"/>
      <c r="AF317" s="6"/>
      <c r="AG317" s="12"/>
    </row>
    <row r="318" spans="29:33" ht="12.75">
      <c r="AC318" s="9"/>
      <c r="AD318" s="10"/>
      <c r="AE318" s="11"/>
      <c r="AF318" s="6"/>
      <c r="AG318" s="12"/>
    </row>
    <row r="319" spans="29:33" ht="12.75">
      <c r="AC319" s="9"/>
      <c r="AD319" s="10"/>
      <c r="AE319" s="11"/>
      <c r="AF319" s="6"/>
      <c r="AG319" s="12"/>
    </row>
    <row r="320" spans="29:33" ht="12.75">
      <c r="AC320" s="9"/>
      <c r="AD320" s="10"/>
      <c r="AE320" s="11"/>
      <c r="AF320" s="6"/>
      <c r="AG320" s="12"/>
    </row>
    <row r="321" spans="29:33" ht="12.75">
      <c r="AC321" s="9"/>
      <c r="AD321" s="10"/>
      <c r="AE321" s="11"/>
      <c r="AF321" s="6"/>
      <c r="AG321" s="12"/>
    </row>
    <row r="322" spans="29:33" ht="12.75">
      <c r="AC322" s="9"/>
      <c r="AD322" s="10"/>
      <c r="AE322" s="11"/>
      <c r="AF322" s="6"/>
      <c r="AG322" s="12"/>
    </row>
    <row r="323" spans="29:33" ht="12.75">
      <c r="AC323" s="9"/>
      <c r="AD323" s="10"/>
      <c r="AE323" s="11"/>
      <c r="AF323" s="6"/>
      <c r="AG323" s="12"/>
    </row>
    <row r="324" spans="29:33" ht="12.75">
      <c r="AC324" s="9"/>
      <c r="AD324" s="10"/>
      <c r="AE324" s="11"/>
      <c r="AF324" s="6"/>
      <c r="AG324" s="12"/>
    </row>
    <row r="325" spans="29:33" ht="12.75">
      <c r="AC325" s="9"/>
      <c r="AD325" s="10"/>
      <c r="AE325" s="11"/>
      <c r="AF325" s="6"/>
      <c r="AG325" s="12"/>
    </row>
    <row r="326" spans="29:33" ht="12.75">
      <c r="AC326" s="9"/>
      <c r="AD326" s="10"/>
      <c r="AE326" s="11"/>
      <c r="AF326" s="6"/>
      <c r="AG326" s="12"/>
    </row>
    <row r="327" spans="29:33" ht="12.75">
      <c r="AC327" s="9"/>
      <c r="AD327" s="10"/>
      <c r="AE327" s="11"/>
      <c r="AF327" s="6"/>
      <c r="AG327" s="12"/>
    </row>
    <row r="328" spans="29:33" ht="12.75">
      <c r="AC328" s="9"/>
      <c r="AD328" s="10"/>
      <c r="AE328" s="11"/>
      <c r="AF328" s="6"/>
      <c r="AG328" s="12"/>
    </row>
    <row r="329" spans="29:33" ht="12.75">
      <c r="AC329" s="9"/>
      <c r="AD329" s="10"/>
      <c r="AE329" s="11"/>
      <c r="AF329" s="6"/>
      <c r="AG329" s="12"/>
    </row>
    <row r="330" spans="29:33" ht="12.75">
      <c r="AC330" s="9"/>
      <c r="AD330" s="10"/>
      <c r="AE330" s="11"/>
      <c r="AF330" s="6"/>
      <c r="AG330" s="12"/>
    </row>
    <row r="331" spans="29:33" ht="12.75">
      <c r="AC331" s="9"/>
      <c r="AD331" s="10"/>
      <c r="AE331" s="11"/>
      <c r="AF331" s="6"/>
      <c r="AG331" s="12"/>
    </row>
    <row r="332" spans="29:33" ht="12.75">
      <c r="AC332" s="9"/>
      <c r="AD332" s="10"/>
      <c r="AE332" s="11"/>
      <c r="AF332" s="6"/>
      <c r="AG332" s="12"/>
    </row>
    <row r="333" spans="29:33" ht="12.75">
      <c r="AC333" s="9"/>
      <c r="AD333" s="10"/>
      <c r="AE333" s="11"/>
      <c r="AF333" s="6"/>
      <c r="AG333" s="12"/>
    </row>
    <row r="334" spans="29:33" ht="12.75">
      <c r="AC334" s="9"/>
      <c r="AD334" s="10"/>
      <c r="AE334" s="11"/>
      <c r="AF334" s="6"/>
      <c r="AG334" s="12"/>
    </row>
    <row r="335" spans="29:33" ht="12.75">
      <c r="AC335" s="9"/>
      <c r="AD335" s="10"/>
      <c r="AE335" s="11"/>
      <c r="AF335" s="6"/>
      <c r="AG335" s="12"/>
    </row>
    <row r="336" spans="29:33" ht="12.75">
      <c r="AC336" s="9"/>
      <c r="AD336" s="10"/>
      <c r="AE336" s="11"/>
      <c r="AF336" s="6"/>
      <c r="AG336" s="12"/>
    </row>
    <row r="337" spans="29:33" ht="12.75">
      <c r="AC337" s="9"/>
      <c r="AD337" s="10"/>
      <c r="AE337" s="11"/>
      <c r="AF337" s="6"/>
      <c r="AG337" s="12"/>
    </row>
    <row r="338" spans="29:33" ht="12.75">
      <c r="AC338" s="9"/>
      <c r="AD338" s="10"/>
      <c r="AE338" s="11"/>
      <c r="AF338" s="6"/>
      <c r="AG338" s="12"/>
    </row>
    <row r="339" spans="29:33" ht="12.75">
      <c r="AC339" s="9"/>
      <c r="AD339" s="10"/>
      <c r="AE339" s="11"/>
      <c r="AF339" s="6"/>
      <c r="AG339" s="12"/>
    </row>
    <row r="340" spans="29:33" ht="12.75">
      <c r="AC340" s="9"/>
      <c r="AD340" s="10"/>
      <c r="AE340" s="11"/>
      <c r="AF340" s="6"/>
      <c r="AG340" s="12"/>
    </row>
    <row r="341" spans="29:33" ht="12.75">
      <c r="AC341" s="9"/>
      <c r="AD341" s="10"/>
      <c r="AE341" s="11"/>
      <c r="AF341" s="6"/>
      <c r="AG341" s="12"/>
    </row>
    <row r="342" spans="29:33" ht="12.75">
      <c r="AC342" s="9"/>
      <c r="AD342" s="10"/>
      <c r="AE342" s="11"/>
      <c r="AF342" s="6"/>
      <c r="AG342" s="12"/>
    </row>
    <row r="343" spans="29:33" ht="12.75">
      <c r="AC343" s="9"/>
      <c r="AD343" s="10"/>
      <c r="AE343" s="11"/>
      <c r="AF343" s="6"/>
      <c r="AG343" s="12"/>
    </row>
    <row r="344" spans="29:33" ht="12.75">
      <c r="AC344" s="9"/>
      <c r="AD344" s="10"/>
      <c r="AE344" s="11"/>
      <c r="AF344" s="6"/>
      <c r="AG344" s="12"/>
    </row>
    <row r="345" spans="29:33" ht="12.75">
      <c r="AC345" s="9"/>
      <c r="AD345" s="10"/>
      <c r="AE345" s="11"/>
      <c r="AF345" s="6"/>
      <c r="AG345" s="12"/>
    </row>
    <row r="346" spans="29:33" ht="12.75">
      <c r="AC346" s="9"/>
      <c r="AD346" s="10"/>
      <c r="AE346" s="11"/>
      <c r="AF346" s="6"/>
      <c r="AG346" s="12"/>
    </row>
    <row r="347" spans="29:33" ht="12.75">
      <c r="AC347" s="9"/>
      <c r="AD347" s="10"/>
      <c r="AE347" s="11"/>
      <c r="AF347" s="6"/>
      <c r="AG347" s="12"/>
    </row>
    <row r="348" spans="29:33" ht="12.75">
      <c r="AC348" s="9"/>
      <c r="AD348" s="10"/>
      <c r="AE348" s="11"/>
      <c r="AF348" s="6"/>
      <c r="AG348" s="12"/>
    </row>
    <row r="349" spans="29:33" ht="12.75">
      <c r="AC349" s="9"/>
      <c r="AD349" s="10"/>
      <c r="AE349" s="11"/>
      <c r="AF349" s="6"/>
      <c r="AG349" s="12"/>
    </row>
    <row r="350" spans="29:33" ht="12.75">
      <c r="AC350" s="9"/>
      <c r="AD350" s="10"/>
      <c r="AE350" s="11"/>
      <c r="AF350" s="6"/>
      <c r="AG350" s="12"/>
    </row>
    <row r="351" spans="29:33" ht="12.75">
      <c r="AC351" s="9"/>
      <c r="AD351" s="10"/>
      <c r="AE351" s="11"/>
      <c r="AF351" s="6"/>
      <c r="AG351" s="12"/>
    </row>
    <row r="352" spans="29:33" ht="12.75">
      <c r="AC352" s="9"/>
      <c r="AD352" s="10"/>
      <c r="AE352" s="11"/>
      <c r="AF352" s="6"/>
      <c r="AG352" s="12"/>
    </row>
    <row r="353" spans="29:33" ht="12.75">
      <c r="AC353" s="9"/>
      <c r="AD353" s="10"/>
      <c r="AE353" s="11"/>
      <c r="AF353" s="6"/>
      <c r="AG353" s="12"/>
    </row>
    <row r="354" spans="29:33" ht="12.75">
      <c r="AC354" s="9"/>
      <c r="AD354" s="10"/>
      <c r="AE354" s="11"/>
      <c r="AF354" s="6"/>
      <c r="AG354" s="12"/>
    </row>
    <row r="355" spans="29:33" ht="12.75">
      <c r="AC355" s="9"/>
      <c r="AD355" s="10"/>
      <c r="AE355" s="11"/>
      <c r="AF355" s="6"/>
      <c r="AG355" s="12"/>
    </row>
    <row r="356" spans="29:33" ht="12.75">
      <c r="AC356" s="9"/>
      <c r="AD356" s="10"/>
      <c r="AE356" s="11"/>
      <c r="AF356" s="6"/>
      <c r="AG356" s="12"/>
    </row>
    <row r="357" spans="29:33" ht="12.75">
      <c r="AC357" s="9"/>
      <c r="AD357" s="10"/>
      <c r="AE357" s="11"/>
      <c r="AF357" s="6"/>
      <c r="AG357" s="12"/>
    </row>
    <row r="358" spans="29:33" ht="12.75">
      <c r="AC358" s="9"/>
      <c r="AD358" s="10"/>
      <c r="AE358" s="11"/>
      <c r="AF358" s="6"/>
      <c r="AG358" s="12"/>
    </row>
    <row r="359" spans="29:33" ht="12.75">
      <c r="AC359" s="9"/>
      <c r="AD359" s="10"/>
      <c r="AE359" s="11"/>
      <c r="AF359" s="6"/>
      <c r="AG359" s="12"/>
    </row>
    <row r="360" spans="29:33" ht="12.75">
      <c r="AC360" s="9"/>
      <c r="AD360" s="10"/>
      <c r="AE360" s="11"/>
      <c r="AF360" s="6"/>
      <c r="AG360" s="12"/>
    </row>
    <row r="361" spans="29:33" ht="12.75">
      <c r="AC361" s="9"/>
      <c r="AD361" s="10"/>
      <c r="AE361" s="11"/>
      <c r="AF361" s="6"/>
      <c r="AG361" s="12"/>
    </row>
    <row r="362" spans="29:33" ht="12.75">
      <c r="AC362" s="9"/>
      <c r="AD362" s="10"/>
      <c r="AE362" s="11"/>
      <c r="AF362" s="6"/>
      <c r="AG362" s="12"/>
    </row>
    <row r="363" spans="29:33" ht="12.75">
      <c r="AC363" s="9"/>
      <c r="AD363" s="10"/>
      <c r="AE363" s="11"/>
      <c r="AF363" s="6"/>
      <c r="AG363" s="12"/>
    </row>
    <row r="364" spans="29:33" ht="12.75">
      <c r="AC364" s="9"/>
      <c r="AD364" s="10"/>
      <c r="AE364" s="11"/>
      <c r="AF364" s="6"/>
      <c r="AG364" s="12"/>
    </row>
    <row r="365" spans="29:33" ht="12.75">
      <c r="AC365" s="9"/>
      <c r="AD365" s="10"/>
      <c r="AE365" s="11"/>
      <c r="AF365" s="6"/>
      <c r="AG365" s="12"/>
    </row>
    <row r="366" spans="29:33" ht="12.75">
      <c r="AC366" s="9"/>
      <c r="AD366" s="10"/>
      <c r="AE366" s="11"/>
      <c r="AF366" s="6"/>
      <c r="AG366" s="12"/>
    </row>
    <row r="367" spans="29:33" ht="12.75">
      <c r="AC367" s="9"/>
      <c r="AD367" s="10"/>
      <c r="AE367" s="11"/>
      <c r="AF367" s="6"/>
      <c r="AG367" s="12"/>
    </row>
    <row r="368" spans="29:33" ht="12.75">
      <c r="AC368" s="9"/>
      <c r="AD368" s="10"/>
      <c r="AE368" s="11"/>
      <c r="AF368" s="6"/>
      <c r="AG368" s="12"/>
    </row>
    <row r="369" spans="29:33" ht="12.75">
      <c r="AC369" s="9"/>
      <c r="AD369" s="10"/>
      <c r="AE369" s="11"/>
      <c r="AF369" s="6"/>
      <c r="AG369" s="12"/>
    </row>
    <row r="370" spans="29:33" ht="12.75">
      <c r="AC370" s="9"/>
      <c r="AD370" s="10"/>
      <c r="AE370" s="11"/>
      <c r="AF370" s="6"/>
      <c r="AG370" s="12"/>
    </row>
    <row r="371" spans="29:33" ht="12.75">
      <c r="AC371" s="9"/>
      <c r="AD371" s="10"/>
      <c r="AE371" s="11"/>
      <c r="AF371" s="6"/>
      <c r="AG371" s="12"/>
    </row>
    <row r="372" spans="29:33" ht="12.75">
      <c r="AC372" s="9"/>
      <c r="AD372" s="10"/>
      <c r="AE372" s="11"/>
      <c r="AF372" s="6"/>
      <c r="AG372" s="12"/>
    </row>
    <row r="373" spans="29:33" ht="12.75">
      <c r="AC373" s="9"/>
      <c r="AD373" s="10"/>
      <c r="AE373" s="11"/>
      <c r="AF373" s="6"/>
      <c r="AG373" s="12"/>
    </row>
    <row r="374" spans="29:33" ht="12.75">
      <c r="AC374" s="9"/>
      <c r="AD374" s="10"/>
      <c r="AE374" s="11"/>
      <c r="AF374" s="6"/>
      <c r="AG374" s="12"/>
    </row>
    <row r="375" spans="29:33" ht="12.75">
      <c r="AC375" s="9"/>
      <c r="AD375" s="10"/>
      <c r="AE375" s="11"/>
      <c r="AF375" s="6"/>
      <c r="AG375" s="12"/>
    </row>
    <row r="376" spans="29:33" ht="12.75">
      <c r="AC376" s="9"/>
      <c r="AD376" s="10"/>
      <c r="AE376" s="11"/>
      <c r="AF376" s="6"/>
      <c r="AG376" s="12"/>
    </row>
    <row r="377" spans="29:33" ht="12.75">
      <c r="AC377" s="9"/>
      <c r="AD377" s="10"/>
      <c r="AE377" s="11"/>
      <c r="AF377" s="6"/>
      <c r="AG377" s="12"/>
    </row>
    <row r="378" spans="29:33" ht="12.75">
      <c r="AC378" s="9"/>
      <c r="AD378" s="10"/>
      <c r="AE378" s="11"/>
      <c r="AF378" s="6"/>
      <c r="AG378" s="12"/>
    </row>
    <row r="379" spans="29:33" ht="12.75">
      <c r="AC379" s="9"/>
      <c r="AD379" s="10"/>
      <c r="AE379" s="11"/>
      <c r="AF379" s="6"/>
      <c r="AG379" s="12"/>
    </row>
    <row r="380" spans="29:33" ht="12.75">
      <c r="AC380" s="9"/>
      <c r="AD380" s="10"/>
      <c r="AE380" s="11"/>
      <c r="AF380" s="6"/>
      <c r="AG380" s="12"/>
    </row>
    <row r="381" spans="29:33" ht="12.75">
      <c r="AC381" s="9"/>
      <c r="AD381" s="10"/>
      <c r="AE381" s="11"/>
      <c r="AF381" s="6"/>
      <c r="AG381" s="12"/>
    </row>
    <row r="382" spans="29:33" ht="12.75">
      <c r="AC382" s="9"/>
      <c r="AD382" s="10"/>
      <c r="AE382" s="11"/>
      <c r="AF382" s="6"/>
      <c r="AG382" s="12"/>
    </row>
    <row r="383" spans="29:33" ht="12.75">
      <c r="AC383" s="9"/>
      <c r="AD383" s="10"/>
      <c r="AE383" s="11"/>
      <c r="AF383" s="6"/>
      <c r="AG383" s="12"/>
    </row>
    <row r="384" spans="29:33" ht="12.75">
      <c r="AC384" s="9"/>
      <c r="AD384" s="10"/>
      <c r="AE384" s="11"/>
      <c r="AF384" s="6"/>
      <c r="AG384" s="12"/>
    </row>
    <row r="385" spans="29:33" ht="12.75">
      <c r="AC385" s="9"/>
      <c r="AD385" s="10"/>
      <c r="AE385" s="11"/>
      <c r="AF385" s="6"/>
      <c r="AG385" s="12"/>
    </row>
    <row r="386" spans="29:33" ht="12.75">
      <c r="AC386" s="9"/>
      <c r="AD386" s="10"/>
      <c r="AE386" s="11"/>
      <c r="AF386" s="6"/>
      <c r="AG386" s="12"/>
    </row>
    <row r="387" spans="29:33" ht="12.75">
      <c r="AC387" s="9"/>
      <c r="AD387" s="10"/>
      <c r="AE387" s="11"/>
      <c r="AF387" s="6"/>
      <c r="AG387" s="12"/>
    </row>
    <row r="388" spans="29:33" ht="12.75">
      <c r="AC388" s="9"/>
      <c r="AD388" s="10"/>
      <c r="AE388" s="11"/>
      <c r="AF388" s="6"/>
      <c r="AG388" s="12"/>
    </row>
    <row r="389" spans="29:33" ht="12.75">
      <c r="AC389" s="9"/>
      <c r="AD389" s="10"/>
      <c r="AE389" s="11"/>
      <c r="AF389" s="6"/>
      <c r="AG389" s="12"/>
    </row>
    <row r="390" spans="29:33" ht="12.75">
      <c r="AC390" s="9"/>
      <c r="AD390" s="10"/>
      <c r="AE390" s="11"/>
      <c r="AF390" s="6"/>
      <c r="AG390" s="12"/>
    </row>
    <row r="391" spans="29:33" ht="12.75">
      <c r="AC391" s="9"/>
      <c r="AD391" s="10"/>
      <c r="AE391" s="11"/>
      <c r="AF391" s="6"/>
      <c r="AG391" s="12"/>
    </row>
    <row r="392" spans="29:33" ht="12.75">
      <c r="AC392" s="9"/>
      <c r="AD392" s="10"/>
      <c r="AE392" s="11"/>
      <c r="AF392" s="6"/>
      <c r="AG392" s="12"/>
    </row>
    <row r="393" spans="29:33" ht="12.75">
      <c r="AC393" s="9"/>
      <c r="AD393" s="10"/>
      <c r="AE393" s="11"/>
      <c r="AF393" s="6"/>
      <c r="AG393" s="12"/>
    </row>
    <row r="394" spans="29:33" ht="12.75">
      <c r="AC394" s="9"/>
      <c r="AD394" s="10"/>
      <c r="AE394" s="11"/>
      <c r="AF394" s="6"/>
      <c r="AG394" s="12"/>
    </row>
    <row r="395" spans="29:33" ht="12.75">
      <c r="AC395" s="9"/>
      <c r="AD395" s="10"/>
      <c r="AE395" s="11"/>
      <c r="AF395" s="6"/>
      <c r="AG395" s="12"/>
    </row>
    <row r="396" spans="29:33" ht="12.75">
      <c r="AC396" s="9"/>
      <c r="AD396" s="10"/>
      <c r="AE396" s="11"/>
      <c r="AF396" s="6"/>
      <c r="AG396" s="12"/>
    </row>
    <row r="397" spans="29:33" ht="12.75">
      <c r="AC397" s="9"/>
      <c r="AD397" s="10"/>
      <c r="AE397" s="11"/>
      <c r="AF397" s="6"/>
      <c r="AG397" s="12"/>
    </row>
    <row r="398" spans="29:33" ht="12.75">
      <c r="AC398" s="9"/>
      <c r="AD398" s="10"/>
      <c r="AE398" s="11"/>
      <c r="AF398" s="6"/>
      <c r="AG398" s="12"/>
    </row>
    <row r="399" spans="29:33" ht="12.75">
      <c r="AC399" s="9"/>
      <c r="AD399" s="10"/>
      <c r="AE399" s="11"/>
      <c r="AF399" s="6"/>
      <c r="AG399" s="12"/>
    </row>
    <row r="400" spans="29:33" ht="12.75">
      <c r="AC400" s="9"/>
      <c r="AD400" s="10"/>
      <c r="AE400" s="11"/>
      <c r="AF400" s="6"/>
      <c r="AG400" s="12"/>
    </row>
    <row r="401" spans="29:33" ht="12.75">
      <c r="AC401" s="9"/>
      <c r="AD401" s="10"/>
      <c r="AE401" s="11"/>
      <c r="AF401" s="6"/>
      <c r="AG401" s="12"/>
    </row>
    <row r="402" spans="29:33" ht="12.75">
      <c r="AC402" s="9"/>
      <c r="AD402" s="10"/>
      <c r="AE402" s="11"/>
      <c r="AF402" s="6"/>
      <c r="AG402" s="12"/>
    </row>
    <row r="403" spans="29:33" ht="12.75">
      <c r="AC403" s="9"/>
      <c r="AD403" s="10"/>
      <c r="AE403" s="11"/>
      <c r="AF403" s="6"/>
      <c r="AG403" s="12"/>
    </row>
    <row r="404" spans="29:33" ht="12.75">
      <c r="AC404" s="9"/>
      <c r="AD404" s="10"/>
      <c r="AE404" s="11"/>
      <c r="AF404" s="6"/>
      <c r="AG404" s="12"/>
    </row>
    <row r="405" spans="29:33" ht="12.75">
      <c r="AC405" s="9"/>
      <c r="AD405" s="10"/>
      <c r="AE405" s="11"/>
      <c r="AF405" s="6"/>
      <c r="AG405" s="12"/>
    </row>
    <row r="406" spans="29:33" ht="12.75">
      <c r="AC406" s="9"/>
      <c r="AD406" s="10"/>
      <c r="AE406" s="11"/>
      <c r="AF406" s="6"/>
      <c r="AG406" s="12"/>
    </row>
    <row r="407" spans="29:33" ht="12.75">
      <c r="AC407" s="9"/>
      <c r="AD407" s="10"/>
      <c r="AE407" s="11"/>
      <c r="AF407" s="6"/>
      <c r="AG407" s="12"/>
    </row>
    <row r="408" spans="29:33" ht="12.75">
      <c r="AC408" s="9"/>
      <c r="AD408" s="10"/>
      <c r="AE408" s="11"/>
      <c r="AF408" s="6"/>
      <c r="AG408" s="12"/>
    </row>
    <row r="409" spans="29:33" ht="12.75">
      <c r="AC409" s="9"/>
      <c r="AD409" s="10"/>
      <c r="AE409" s="11"/>
      <c r="AF409" s="6"/>
      <c r="AG409" s="12"/>
    </row>
    <row r="410" spans="29:33" ht="12.75">
      <c r="AC410" s="9"/>
      <c r="AD410" s="10"/>
      <c r="AE410" s="11"/>
      <c r="AF410" s="6"/>
      <c r="AG410" s="12"/>
    </row>
    <row r="411" spans="29:33" ht="12.75">
      <c r="AC411" s="9"/>
      <c r="AD411" s="10"/>
      <c r="AE411" s="11"/>
      <c r="AF411" s="6"/>
      <c r="AG411" s="12"/>
    </row>
    <row r="412" spans="29:33" ht="12.75">
      <c r="AC412" s="9"/>
      <c r="AD412" s="10"/>
      <c r="AE412" s="11"/>
      <c r="AF412" s="6"/>
      <c r="AG412" s="12"/>
    </row>
    <row r="413" spans="29:33" ht="12.75">
      <c r="AC413" s="9"/>
      <c r="AD413" s="10"/>
      <c r="AE413" s="11"/>
      <c r="AF413" s="6"/>
      <c r="AG413" s="12"/>
    </row>
    <row r="414" spans="29:33" ht="12.75">
      <c r="AC414" s="9"/>
      <c r="AD414" s="10"/>
      <c r="AE414" s="11"/>
      <c r="AF414" s="6"/>
      <c r="AG414" s="12"/>
    </row>
    <row r="415" spans="29:33" ht="12.75">
      <c r="AC415" s="9"/>
      <c r="AD415" s="10"/>
      <c r="AE415" s="11"/>
      <c r="AF415" s="6"/>
      <c r="AG415" s="12"/>
    </row>
    <row r="416" spans="29:33" ht="12.75">
      <c r="AC416" s="9"/>
      <c r="AD416" s="10"/>
      <c r="AE416" s="11"/>
      <c r="AF416" s="6"/>
      <c r="AG416" s="12"/>
    </row>
    <row r="417" spans="29:33" ht="12.75">
      <c r="AC417" s="9"/>
      <c r="AD417" s="10"/>
      <c r="AE417" s="11"/>
      <c r="AF417" s="6"/>
      <c r="AG417" s="12"/>
    </row>
    <row r="418" spans="29:33" ht="12.75">
      <c r="AC418" s="9"/>
      <c r="AD418" s="10"/>
      <c r="AE418" s="11"/>
      <c r="AF418" s="6"/>
      <c r="AG418" s="12"/>
    </row>
    <row r="419" spans="29:33" ht="12.75">
      <c r="AC419" s="9"/>
      <c r="AD419" s="10"/>
      <c r="AE419" s="11"/>
      <c r="AF419" s="6"/>
      <c r="AG419" s="12"/>
    </row>
    <row r="420" spans="29:33" ht="12.75">
      <c r="AC420" s="9"/>
      <c r="AD420" s="10"/>
      <c r="AE420" s="11"/>
      <c r="AF420" s="6"/>
      <c r="AG420" s="12"/>
    </row>
    <row r="421" spans="29:33" ht="12.75">
      <c r="AC421" s="9"/>
      <c r="AD421" s="10"/>
      <c r="AE421" s="11"/>
      <c r="AF421" s="6"/>
      <c r="AG421" s="12"/>
    </row>
    <row r="422" spans="29:33" ht="12.75">
      <c r="AC422" s="9"/>
      <c r="AD422" s="10"/>
      <c r="AE422" s="11"/>
      <c r="AF422" s="6"/>
      <c r="AG422" s="12"/>
    </row>
    <row r="423" spans="29:33" ht="12.75">
      <c r="AC423" s="9"/>
      <c r="AD423" s="10"/>
      <c r="AE423" s="11"/>
      <c r="AF423" s="6"/>
      <c r="AG423" s="12"/>
    </row>
    <row r="424" spans="29:33" ht="12.75">
      <c r="AC424" s="9"/>
      <c r="AD424" s="10"/>
      <c r="AE424" s="11"/>
      <c r="AF424" s="6"/>
      <c r="AG424" s="12"/>
    </row>
    <row r="425" spans="29:33" ht="12.75">
      <c r="AC425" s="9"/>
      <c r="AD425" s="10"/>
      <c r="AE425" s="11"/>
      <c r="AF425" s="6"/>
      <c r="AG425" s="12"/>
    </row>
    <row r="426" spans="29:33" ht="12.75">
      <c r="AC426" s="9"/>
      <c r="AD426" s="10"/>
      <c r="AE426" s="11"/>
      <c r="AF426" s="6"/>
      <c r="AG426" s="12"/>
    </row>
    <row r="427" spans="29:33" ht="12.75">
      <c r="AC427" s="9"/>
      <c r="AD427" s="10"/>
      <c r="AE427" s="11"/>
      <c r="AF427" s="6"/>
      <c r="AG427" s="12"/>
    </row>
    <row r="428" spans="29:33" ht="12.75">
      <c r="AC428" s="9"/>
      <c r="AD428" s="10"/>
      <c r="AE428" s="11"/>
      <c r="AF428" s="6"/>
      <c r="AG428" s="12"/>
    </row>
    <row r="429" spans="29:33" ht="12.75">
      <c r="AC429" s="9"/>
      <c r="AD429" s="10"/>
      <c r="AE429" s="11"/>
      <c r="AF429" s="6"/>
      <c r="AG429" s="12"/>
    </row>
    <row r="430" spans="29:33" ht="12.75">
      <c r="AC430" s="9"/>
      <c r="AD430" s="10"/>
      <c r="AE430" s="11"/>
      <c r="AF430" s="6"/>
      <c r="AG430" s="12"/>
    </row>
    <row r="431" spans="29:33" ht="12.75">
      <c r="AC431" s="9"/>
      <c r="AD431" s="10"/>
      <c r="AE431" s="11"/>
      <c r="AF431" s="6"/>
      <c r="AG431" s="12"/>
    </row>
    <row r="432" spans="29:33" ht="12.75">
      <c r="AC432" s="9"/>
      <c r="AD432" s="10"/>
      <c r="AE432" s="11"/>
      <c r="AF432" s="6"/>
      <c r="AG432" s="12"/>
    </row>
    <row r="433" spans="29:33" ht="12.75">
      <c r="AC433" s="9"/>
      <c r="AD433" s="10"/>
      <c r="AE433" s="11"/>
      <c r="AF433" s="6"/>
      <c r="AG433" s="12"/>
    </row>
    <row r="434" spans="29:33" ht="12.75">
      <c r="AC434" s="9"/>
      <c r="AD434" s="10"/>
      <c r="AE434" s="11"/>
      <c r="AF434" s="6"/>
      <c r="AG434" s="12"/>
    </row>
    <row r="435" spans="29:33" ht="12.75">
      <c r="AC435" s="9"/>
      <c r="AD435" s="10"/>
      <c r="AE435" s="11"/>
      <c r="AF435" s="6"/>
      <c r="AG435" s="12"/>
    </row>
    <row r="436" spans="29:33" ht="12.75">
      <c r="AC436" s="9"/>
      <c r="AD436" s="10"/>
      <c r="AE436" s="11"/>
      <c r="AF436" s="6"/>
      <c r="AG436" s="12"/>
    </row>
    <row r="437" spans="29:33" ht="12.75">
      <c r="AC437" s="9"/>
      <c r="AD437" s="10"/>
      <c r="AE437" s="11"/>
      <c r="AF437" s="6"/>
      <c r="AG437" s="12"/>
    </row>
    <row r="438" spans="29:33" ht="12.75">
      <c r="AC438" s="9"/>
      <c r="AD438" s="10"/>
      <c r="AE438" s="11"/>
      <c r="AF438" s="6"/>
      <c r="AG438" s="12"/>
    </row>
    <row r="439" spans="29:33" ht="12.75">
      <c r="AC439" s="9"/>
      <c r="AD439" s="10"/>
      <c r="AE439" s="11"/>
      <c r="AF439" s="6"/>
      <c r="AG439" s="12"/>
    </row>
    <row r="440" spans="29:33" ht="12.75">
      <c r="AC440" s="9"/>
      <c r="AD440" s="10"/>
      <c r="AE440" s="11"/>
      <c r="AF440" s="6"/>
      <c r="AG440" s="12"/>
    </row>
    <row r="441" spans="29:33" ht="12.75">
      <c r="AC441" s="9"/>
      <c r="AD441" s="10"/>
      <c r="AE441" s="11"/>
      <c r="AF441" s="6"/>
      <c r="AG441" s="12"/>
    </row>
    <row r="442" spans="29:33" ht="12.75">
      <c r="AC442" s="9"/>
      <c r="AD442" s="10"/>
      <c r="AE442" s="11"/>
      <c r="AF442" s="6"/>
      <c r="AG442" s="12"/>
    </row>
    <row r="443" spans="29:33" ht="12.75">
      <c r="AC443" s="9"/>
      <c r="AD443" s="10"/>
      <c r="AE443" s="11"/>
      <c r="AF443" s="6"/>
      <c r="AG443" s="12"/>
    </row>
    <row r="444" spans="29:33" ht="12.75">
      <c r="AC444" s="9"/>
      <c r="AD444" s="10"/>
      <c r="AE444" s="11"/>
      <c r="AF444" s="6"/>
      <c r="AG444" s="12"/>
    </row>
    <row r="445" spans="29:33" ht="12.75">
      <c r="AC445" s="9"/>
      <c r="AD445" s="10"/>
      <c r="AE445" s="11"/>
      <c r="AF445" s="6"/>
      <c r="AG445" s="12"/>
    </row>
    <row r="446" spans="29:33" ht="12.75">
      <c r="AC446" s="9"/>
      <c r="AD446" s="10"/>
      <c r="AE446" s="11"/>
      <c r="AF446" s="6"/>
      <c r="AG446" s="12"/>
    </row>
    <row r="447" spans="29:33" ht="12.75">
      <c r="AC447" s="9"/>
      <c r="AD447" s="10"/>
      <c r="AE447" s="11"/>
      <c r="AF447" s="6"/>
      <c r="AG447" s="12"/>
    </row>
    <row r="448" spans="29:33" ht="12.75">
      <c r="AC448" s="9"/>
      <c r="AD448" s="10"/>
      <c r="AE448" s="11"/>
      <c r="AF448" s="6"/>
      <c r="AG448" s="12"/>
    </row>
    <row r="449" spans="29:33" ht="12.75">
      <c r="AC449" s="9"/>
      <c r="AD449" s="10"/>
      <c r="AE449" s="11"/>
      <c r="AF449" s="6"/>
      <c r="AG449" s="12"/>
    </row>
    <row r="450" spans="29:33" ht="12.75">
      <c r="AC450" s="9"/>
      <c r="AD450" s="10"/>
      <c r="AE450" s="11"/>
      <c r="AF450" s="6"/>
      <c r="AG450" s="12"/>
    </row>
    <row r="451" spans="29:33" ht="12.75">
      <c r="AC451" s="9"/>
      <c r="AD451" s="10"/>
      <c r="AE451" s="11"/>
      <c r="AF451" s="6"/>
      <c r="AG451" s="12"/>
    </row>
    <row r="452" spans="29:33" ht="12.75">
      <c r="AC452" s="9"/>
      <c r="AD452" s="10"/>
      <c r="AE452" s="11"/>
      <c r="AF452" s="6"/>
      <c r="AG452" s="12"/>
    </row>
    <row r="453" spans="29:33" ht="12.75">
      <c r="AC453" s="9"/>
      <c r="AD453" s="10"/>
      <c r="AE453" s="11"/>
      <c r="AF453" s="6"/>
      <c r="AG453" s="12"/>
    </row>
    <row r="454" spans="29:33" ht="12.75">
      <c r="AC454" s="9"/>
      <c r="AD454" s="10"/>
      <c r="AE454" s="11"/>
      <c r="AF454" s="6"/>
      <c r="AG454" s="12"/>
    </row>
    <row r="455" spans="29:33" ht="12.75">
      <c r="AC455" s="9"/>
      <c r="AD455" s="10"/>
      <c r="AE455" s="11"/>
      <c r="AF455" s="6"/>
      <c r="AG455" s="12"/>
    </row>
    <row r="456" spans="29:33" ht="12.75">
      <c r="AC456" s="9"/>
      <c r="AD456" s="10"/>
      <c r="AE456" s="11"/>
      <c r="AF456" s="6"/>
      <c r="AG456" s="12"/>
    </row>
    <row r="457" spans="29:33" ht="12.75">
      <c r="AC457" s="9"/>
      <c r="AD457" s="10"/>
      <c r="AE457" s="11"/>
      <c r="AF457" s="6"/>
      <c r="AG457" s="12"/>
    </row>
    <row r="458" spans="29:33" ht="12.75">
      <c r="AC458" s="9"/>
      <c r="AD458" s="10"/>
      <c r="AE458" s="11"/>
      <c r="AF458" s="6"/>
      <c r="AG458" s="12"/>
    </row>
    <row r="459" spans="29:33" ht="12.75">
      <c r="AC459" s="9"/>
      <c r="AD459" s="10"/>
      <c r="AE459" s="11"/>
      <c r="AF459" s="6"/>
      <c r="AG459" s="12"/>
    </row>
    <row r="460" spans="29:33" ht="12.75">
      <c r="AC460" s="9"/>
      <c r="AD460" s="10"/>
      <c r="AE460" s="11"/>
      <c r="AF460" s="6"/>
      <c r="AG460" s="12"/>
    </row>
    <row r="461" spans="29:33" ht="12.75">
      <c r="AC461" s="9"/>
      <c r="AD461" s="10"/>
      <c r="AE461" s="11"/>
      <c r="AF461" s="6"/>
      <c r="AG461" s="12"/>
    </row>
    <row r="462" spans="29:33" ht="12.75">
      <c r="AC462" s="9"/>
      <c r="AD462" s="10"/>
      <c r="AE462" s="11"/>
      <c r="AF462" s="6"/>
      <c r="AG462" s="12"/>
    </row>
    <row r="463" spans="29:33" ht="12.75">
      <c r="AC463" s="9"/>
      <c r="AD463" s="10"/>
      <c r="AE463" s="11"/>
      <c r="AF463" s="6"/>
      <c r="AG463" s="12"/>
    </row>
    <row r="464" spans="29:33" ht="12.75">
      <c r="AC464" s="9"/>
      <c r="AD464" s="10"/>
      <c r="AE464" s="11"/>
      <c r="AF464" s="6"/>
      <c r="AG464" s="12"/>
    </row>
    <row r="465" spans="29:33" ht="12.75">
      <c r="AC465" s="9"/>
      <c r="AD465" s="10"/>
      <c r="AE465" s="11"/>
      <c r="AF465" s="6"/>
      <c r="AG465" s="12"/>
    </row>
    <row r="466" spans="29:33" ht="12.75">
      <c r="AC466" s="9"/>
      <c r="AD466" s="10"/>
      <c r="AE466" s="11"/>
      <c r="AF466" s="6"/>
      <c r="AG466" s="12"/>
    </row>
    <row r="467" spans="29:33" ht="12.75">
      <c r="AC467" s="9"/>
      <c r="AD467" s="10"/>
      <c r="AE467" s="11"/>
      <c r="AF467" s="6"/>
      <c r="AG467" s="12"/>
    </row>
    <row r="468" spans="29:33" ht="12.75">
      <c r="AC468" s="9"/>
      <c r="AD468" s="10"/>
      <c r="AE468" s="11"/>
      <c r="AF468" s="6"/>
      <c r="AG468" s="12"/>
    </row>
    <row r="469" spans="29:33" ht="12.75">
      <c r="AC469" s="9"/>
      <c r="AD469" s="10"/>
      <c r="AE469" s="11"/>
      <c r="AF469" s="6"/>
      <c r="AG469" s="12"/>
    </row>
    <row r="470" spans="29:33" ht="12.75">
      <c r="AC470" s="9"/>
      <c r="AD470" s="10"/>
      <c r="AE470" s="11"/>
      <c r="AF470" s="6"/>
      <c r="AG470" s="12"/>
    </row>
    <row r="471" spans="29:33" ht="12.75">
      <c r="AC471" s="9"/>
      <c r="AD471" s="10"/>
      <c r="AE471" s="11"/>
      <c r="AF471" s="6"/>
      <c r="AG471" s="12"/>
    </row>
    <row r="472" spans="29:33" ht="12.75">
      <c r="AC472" s="9"/>
      <c r="AD472" s="10"/>
      <c r="AE472" s="11"/>
      <c r="AF472" s="6"/>
      <c r="AG472" s="12"/>
    </row>
    <row r="473" spans="29:33" ht="12.75">
      <c r="AC473" s="9"/>
      <c r="AD473" s="10"/>
      <c r="AE473" s="11"/>
      <c r="AF473" s="6"/>
      <c r="AG473" s="12"/>
    </row>
    <row r="474" spans="29:33" ht="12.75">
      <c r="AC474" s="9"/>
      <c r="AD474" s="10"/>
      <c r="AE474" s="11"/>
      <c r="AF474" s="6"/>
      <c r="AG474" s="12"/>
    </row>
    <row r="475" spans="29:33" ht="12.75">
      <c r="AC475" s="9"/>
      <c r="AD475" s="10"/>
      <c r="AE475" s="11"/>
      <c r="AF475" s="6"/>
      <c r="AG475" s="12"/>
    </row>
    <row r="476" spans="29:33" ht="12.75">
      <c r="AC476" s="9"/>
      <c r="AD476" s="10"/>
      <c r="AE476" s="11"/>
      <c r="AF476" s="6"/>
      <c r="AG476" s="12"/>
    </row>
    <row r="477" spans="29:33" ht="12.75">
      <c r="AC477" s="9"/>
      <c r="AD477" s="10"/>
      <c r="AE477" s="11"/>
      <c r="AF477" s="6"/>
      <c r="AG477" s="12"/>
    </row>
    <row r="478" spans="29:33" ht="12.75">
      <c r="AC478" s="9"/>
      <c r="AD478" s="10"/>
      <c r="AE478" s="11"/>
      <c r="AF478" s="6"/>
      <c r="AG478" s="12"/>
    </row>
    <row r="479" spans="29:33" ht="12.75">
      <c r="AC479" s="9"/>
      <c r="AD479" s="10"/>
      <c r="AE479" s="11"/>
      <c r="AF479" s="6"/>
      <c r="AG479" s="12"/>
    </row>
    <row r="480" spans="29:33" ht="12.75">
      <c r="AC480" s="9"/>
      <c r="AD480" s="10"/>
      <c r="AE480" s="11"/>
      <c r="AF480" s="6"/>
      <c r="AG480" s="12"/>
    </row>
    <row r="481" spans="29:33" ht="12.75">
      <c r="AC481" s="9"/>
      <c r="AD481" s="10"/>
      <c r="AE481" s="11"/>
      <c r="AF481" s="6"/>
      <c r="AG481" s="12"/>
    </row>
    <row r="482" spans="29:33" ht="12.75">
      <c r="AC482" s="9"/>
      <c r="AD482" s="10"/>
      <c r="AE482" s="11"/>
      <c r="AF482" s="6"/>
      <c r="AG482" s="12"/>
    </row>
    <row r="483" spans="29:33" ht="12.75">
      <c r="AC483" s="9"/>
      <c r="AD483" s="10"/>
      <c r="AE483" s="11"/>
      <c r="AF483" s="6"/>
      <c r="AG483" s="12"/>
    </row>
    <row r="484" spans="29:33" ht="12.75">
      <c r="AC484" s="9"/>
      <c r="AD484" s="10"/>
      <c r="AE484" s="11"/>
      <c r="AF484" s="6"/>
      <c r="AG484" s="12"/>
    </row>
    <row r="485" spans="29:33" ht="12.75">
      <c r="AC485" s="9"/>
      <c r="AD485" s="10"/>
      <c r="AE485" s="11"/>
      <c r="AF485" s="6"/>
      <c r="AG485" s="12"/>
    </row>
    <row r="486" spans="29:33" ht="12.75">
      <c r="AC486" s="9"/>
      <c r="AD486" s="10"/>
      <c r="AE486" s="11"/>
      <c r="AF486" s="6"/>
      <c r="AG486" s="12"/>
    </row>
    <row r="487" spans="29:33" ht="12.75">
      <c r="AC487" s="9"/>
      <c r="AD487" s="10"/>
      <c r="AE487" s="11"/>
      <c r="AF487" s="6"/>
      <c r="AG487" s="12"/>
    </row>
    <row r="488" spans="29:33" ht="12.75">
      <c r="AC488" s="9"/>
      <c r="AD488" s="10"/>
      <c r="AE488" s="11"/>
      <c r="AF488" s="6"/>
      <c r="AG488" s="12"/>
    </row>
    <row r="489" spans="29:33" ht="12.75">
      <c r="AC489" s="9"/>
      <c r="AD489" s="10"/>
      <c r="AE489" s="11"/>
      <c r="AF489" s="6"/>
      <c r="AG489" s="12"/>
    </row>
    <row r="490" spans="29:33" ht="12.75">
      <c r="AC490" s="9"/>
      <c r="AD490" s="10"/>
      <c r="AE490" s="11"/>
      <c r="AF490" s="6"/>
      <c r="AG490" s="12"/>
    </row>
    <row r="491" spans="29:33" ht="12.75">
      <c r="AC491" s="9"/>
      <c r="AD491" s="10"/>
      <c r="AE491" s="11"/>
      <c r="AF491" s="6"/>
      <c r="AG491" s="12"/>
    </row>
    <row r="492" spans="29:33" ht="12.75">
      <c r="AC492" s="9"/>
      <c r="AD492" s="10"/>
      <c r="AE492" s="11"/>
      <c r="AF492" s="6"/>
      <c r="AG492" s="12"/>
    </row>
    <row r="493" spans="29:33" ht="12.75">
      <c r="AC493" s="9"/>
      <c r="AD493" s="10"/>
      <c r="AE493" s="11"/>
      <c r="AF493" s="6"/>
      <c r="AG493" s="12"/>
    </row>
    <row r="494" spans="29:33" ht="12.75">
      <c r="AC494" s="9"/>
      <c r="AD494" s="10"/>
      <c r="AE494" s="11"/>
      <c r="AF494" s="6"/>
      <c r="AG494" s="12"/>
    </row>
    <row r="495" spans="29:33" ht="12.75">
      <c r="AC495" s="9"/>
      <c r="AD495" s="10"/>
      <c r="AE495" s="11"/>
      <c r="AF495" s="6"/>
      <c r="AG495" s="12"/>
    </row>
    <row r="496" spans="29:33" ht="12.75">
      <c r="AC496" s="9"/>
      <c r="AD496" s="10"/>
      <c r="AE496" s="11"/>
      <c r="AF496" s="6"/>
      <c r="AG496" s="12"/>
    </row>
    <row r="497" spans="29:33" ht="12.75">
      <c r="AC497" s="9"/>
      <c r="AD497" s="10"/>
      <c r="AE497" s="11"/>
      <c r="AF497" s="6"/>
      <c r="AG497" s="12"/>
    </row>
    <row r="498" spans="29:33" ht="12.75">
      <c r="AC498" s="9"/>
      <c r="AD498" s="10"/>
      <c r="AE498" s="11"/>
      <c r="AF498" s="6"/>
      <c r="AG498" s="12"/>
    </row>
    <row r="499" spans="29:33" ht="12.75">
      <c r="AC499" s="9"/>
      <c r="AD499" s="10"/>
      <c r="AE499" s="11"/>
      <c r="AF499" s="6"/>
      <c r="AG499" s="12"/>
    </row>
    <row r="500" spans="29:33" ht="12.75">
      <c r="AC500" s="9"/>
      <c r="AD500" s="10"/>
      <c r="AE500" s="11"/>
      <c r="AF500" s="6"/>
      <c r="AG500" s="12"/>
    </row>
    <row r="501" spans="29:33" ht="12.75">
      <c r="AC501" s="9"/>
      <c r="AD501" s="10"/>
      <c r="AE501" s="11"/>
      <c r="AF501" s="6"/>
      <c r="AG501" s="12"/>
    </row>
    <row r="502" spans="29:33" ht="12.75">
      <c r="AC502" s="9"/>
      <c r="AD502" s="10"/>
      <c r="AE502" s="11"/>
      <c r="AF502" s="6"/>
      <c r="AG502" s="12"/>
    </row>
    <row r="503" spans="29:33" ht="12.75">
      <c r="AC503" s="9"/>
      <c r="AD503" s="10"/>
      <c r="AE503" s="11"/>
      <c r="AF503" s="6"/>
      <c r="AG503" s="12"/>
    </row>
    <row r="504" spans="29:33" ht="12.75">
      <c r="AC504" s="9"/>
      <c r="AD504" s="10"/>
      <c r="AE504" s="11"/>
      <c r="AF504" s="6"/>
      <c r="AG504" s="12"/>
    </row>
    <row r="505" spans="29:33" ht="12.75">
      <c r="AC505" s="9"/>
      <c r="AD505" s="10"/>
      <c r="AE505" s="11"/>
      <c r="AF505" s="6"/>
      <c r="AG505" s="12"/>
    </row>
    <row r="506" spans="29:33" ht="12.75">
      <c r="AC506" s="9"/>
      <c r="AD506" s="10"/>
      <c r="AE506" s="11"/>
      <c r="AF506" s="6"/>
      <c r="AG506" s="12"/>
    </row>
    <row r="507" spans="29:33" ht="12.75">
      <c r="AC507" s="9"/>
      <c r="AD507" s="10"/>
      <c r="AE507" s="11"/>
      <c r="AF507" s="6"/>
      <c r="AG507" s="12"/>
    </row>
    <row r="508" spans="29:33" ht="12.75">
      <c r="AC508" s="9"/>
      <c r="AD508" s="10"/>
      <c r="AE508" s="11"/>
      <c r="AF508" s="6"/>
      <c r="AG508" s="12"/>
    </row>
    <row r="509" spans="29:33" ht="12.75">
      <c r="AC509" s="9"/>
      <c r="AD509" s="10"/>
      <c r="AE509" s="11"/>
      <c r="AF509" s="6"/>
      <c r="AG509" s="12"/>
    </row>
    <row r="510" spans="29:33" ht="12.75">
      <c r="AC510" s="9"/>
      <c r="AD510" s="10"/>
      <c r="AE510" s="11"/>
      <c r="AF510" s="6"/>
      <c r="AG510" s="12"/>
    </row>
    <row r="511" spans="29:33" ht="12.75">
      <c r="AC511" s="9"/>
      <c r="AD511" s="10"/>
      <c r="AE511" s="11"/>
      <c r="AF511" s="6"/>
      <c r="AG511" s="12"/>
    </row>
    <row r="512" spans="29:33" ht="12.75">
      <c r="AC512" s="9"/>
      <c r="AD512" s="10"/>
      <c r="AE512" s="11"/>
      <c r="AF512" s="6"/>
      <c r="AG512" s="12"/>
    </row>
    <row r="513" spans="29:33" ht="12.75">
      <c r="AC513" s="9"/>
      <c r="AD513" s="10"/>
      <c r="AE513" s="11"/>
      <c r="AF513" s="6"/>
      <c r="AG513" s="12"/>
    </row>
    <row r="514" spans="29:33" ht="12.75">
      <c r="AC514" s="9"/>
      <c r="AD514" s="10"/>
      <c r="AE514" s="11"/>
      <c r="AF514" s="6"/>
      <c r="AG514" s="12"/>
    </row>
    <row r="515" spans="29:33" ht="12.75">
      <c r="AC515" s="9"/>
      <c r="AD515" s="10"/>
      <c r="AE515" s="11"/>
      <c r="AF515" s="6"/>
      <c r="AG515" s="12"/>
    </row>
    <row r="516" spans="29:33" ht="12.75">
      <c r="AC516" s="9"/>
      <c r="AD516" s="10"/>
      <c r="AE516" s="11"/>
      <c r="AF516" s="6"/>
      <c r="AG516" s="12"/>
    </row>
    <row r="517" spans="29:33" ht="12.75">
      <c r="AC517" s="9"/>
      <c r="AD517" s="10"/>
      <c r="AE517" s="11"/>
      <c r="AF517" s="6"/>
      <c r="AG517" s="12"/>
    </row>
    <row r="518" spans="29:33" ht="12.75">
      <c r="AC518" s="9"/>
      <c r="AD518" s="10"/>
      <c r="AE518" s="11"/>
      <c r="AF518" s="6"/>
      <c r="AG518" s="12"/>
    </row>
    <row r="519" spans="29:33" ht="12.75">
      <c r="AC519" s="9"/>
      <c r="AD519" s="10"/>
      <c r="AE519" s="11"/>
      <c r="AF519" s="6"/>
      <c r="AG519" s="12"/>
    </row>
    <row r="520" spans="29:33" ht="12.75">
      <c r="AC520" s="9"/>
      <c r="AD520" s="10"/>
      <c r="AE520" s="11"/>
      <c r="AF520" s="6"/>
      <c r="AG520" s="12"/>
    </row>
    <row r="521" spans="29:33" ht="12.75">
      <c r="AC521" s="9"/>
      <c r="AD521" s="10"/>
      <c r="AE521" s="11"/>
      <c r="AF521" s="6"/>
      <c r="AG521" s="12"/>
    </row>
    <row r="522" spans="29:33" ht="12.75">
      <c r="AC522" s="9"/>
      <c r="AD522" s="10"/>
      <c r="AE522" s="11"/>
      <c r="AF522" s="6"/>
      <c r="AG522" s="12"/>
    </row>
    <row r="523" spans="29:33" ht="12.75">
      <c r="AC523" s="9"/>
      <c r="AD523" s="10"/>
      <c r="AE523" s="11"/>
      <c r="AF523" s="6"/>
      <c r="AG523" s="12"/>
    </row>
    <row r="524" ht="12.75">
      <c r="AE524" s="11"/>
    </row>
    <row r="525" ht="12.75">
      <c r="AE525" s="11"/>
    </row>
    <row r="526" ht="12.75">
      <c r="AE526" s="11"/>
    </row>
    <row r="527" ht="12.75">
      <c r="AE527" s="11"/>
    </row>
    <row r="528" ht="12.75">
      <c r="AE528" s="11"/>
    </row>
    <row r="529" ht="12.75">
      <c r="AE529" s="11"/>
    </row>
    <row r="530" ht="12.75">
      <c r="AE530" s="11"/>
    </row>
    <row r="531" ht="12.75">
      <c r="AE531" s="11"/>
    </row>
    <row r="532" ht="12.75">
      <c r="AE532" s="11"/>
    </row>
    <row r="533" ht="12.75">
      <c r="AE533" s="11"/>
    </row>
    <row r="534" ht="12.75">
      <c r="AE534" s="11"/>
    </row>
    <row r="535" ht="12.75">
      <c r="AE535" s="11"/>
    </row>
    <row r="536" ht="12.75">
      <c r="AE536" s="11"/>
    </row>
    <row r="537" ht="12.75">
      <c r="AE537" s="11"/>
    </row>
    <row r="538" ht="12.75">
      <c r="AE538" s="11"/>
    </row>
    <row r="539" ht="12.75">
      <c r="AE539" s="11"/>
    </row>
    <row r="540" ht="12.75">
      <c r="AE540" s="11"/>
    </row>
    <row r="541" ht="12.75">
      <c r="AE541" s="11"/>
    </row>
    <row r="542" ht="12.75">
      <c r="AE542" s="11"/>
    </row>
    <row r="543" ht="12.75">
      <c r="AE543" s="11"/>
    </row>
    <row r="544" ht="12.75">
      <c r="AE544" s="11"/>
    </row>
    <row r="545" ht="12.75">
      <c r="AE545" s="11"/>
    </row>
    <row r="546" ht="12.75">
      <c r="AE546" s="11"/>
    </row>
    <row r="547" ht="12.75">
      <c r="AE547" s="11"/>
    </row>
    <row r="548" ht="12.75">
      <c r="AE548" s="11"/>
    </row>
    <row r="549" ht="12.75">
      <c r="AE549" s="11"/>
    </row>
    <row r="550" ht="12.75">
      <c r="AE550" s="11"/>
    </row>
    <row r="551" ht="12.75">
      <c r="AE551" s="11"/>
    </row>
    <row r="552" ht="12.75">
      <c r="AE552" s="11"/>
    </row>
    <row r="553" ht="12.75">
      <c r="AE553" s="11"/>
    </row>
    <row r="554" ht="12.75">
      <c r="AE554" s="11"/>
    </row>
    <row r="555" ht="12.75">
      <c r="AE555" s="11"/>
    </row>
    <row r="556" ht="12.75">
      <c r="AE556" s="11"/>
    </row>
    <row r="557" ht="12.75">
      <c r="AE557" s="11"/>
    </row>
    <row r="558" ht="12.75">
      <c r="AE558" s="11"/>
    </row>
    <row r="559" ht="12.75">
      <c r="AE559" s="11"/>
    </row>
    <row r="560" ht="12.75">
      <c r="AE560" s="11"/>
    </row>
    <row r="561" ht="12.75">
      <c r="AE561" s="11"/>
    </row>
    <row r="562" ht="12.75">
      <c r="AE562" s="11"/>
    </row>
    <row r="563" ht="12.75">
      <c r="AE563" s="11"/>
    </row>
    <row r="564" ht="12.75">
      <c r="AE564" s="11"/>
    </row>
    <row r="565" ht="12.75">
      <c r="AE565" s="11"/>
    </row>
    <row r="566" ht="12.75">
      <c r="AE566" s="11"/>
    </row>
    <row r="567" ht="12.75">
      <c r="AE567" s="11"/>
    </row>
    <row r="568" ht="12.75">
      <c r="AE568" s="11"/>
    </row>
    <row r="569" ht="12.75">
      <c r="AE569" s="11"/>
    </row>
    <row r="570" ht="12.75">
      <c r="AE570" s="11"/>
    </row>
    <row r="571" ht="12.75">
      <c r="AE571" s="11"/>
    </row>
    <row r="572" ht="12.75">
      <c r="AE572" s="11"/>
    </row>
    <row r="573" ht="12.75">
      <c r="AE573" s="11"/>
    </row>
    <row r="574" ht="12.75">
      <c r="AE574" s="11"/>
    </row>
    <row r="575" ht="12.75">
      <c r="AE575" s="11"/>
    </row>
    <row r="576" ht="12.75">
      <c r="AE576" s="11"/>
    </row>
    <row r="577" ht="12.75">
      <c r="AE577" s="11"/>
    </row>
    <row r="578" ht="12.75">
      <c r="AE578" s="11"/>
    </row>
    <row r="579" ht="12.75">
      <c r="AE579" s="11"/>
    </row>
    <row r="580" ht="12.75">
      <c r="AE580" s="11"/>
    </row>
    <row r="581" ht="12.75">
      <c r="AE581" s="11"/>
    </row>
    <row r="582" ht="12.75">
      <c r="AE582" s="11"/>
    </row>
    <row r="583" ht="12.75">
      <c r="AE583" s="11"/>
    </row>
    <row r="584" ht="12.75">
      <c r="AE584" s="11"/>
    </row>
    <row r="585" ht="12.75">
      <c r="AE585" s="11"/>
    </row>
    <row r="586" ht="12.75">
      <c r="AE586" s="11"/>
    </row>
    <row r="587" ht="12.75">
      <c r="AE587" s="11"/>
    </row>
    <row r="588" ht="12.75">
      <c r="AE588" s="11"/>
    </row>
    <row r="589" ht="12.75">
      <c r="AE589" s="11"/>
    </row>
    <row r="590" ht="12.75">
      <c r="AE590" s="11"/>
    </row>
    <row r="591" ht="12.75">
      <c r="AE591" s="11"/>
    </row>
    <row r="592" ht="12.75">
      <c r="AE592" s="11"/>
    </row>
    <row r="593" ht="12.75">
      <c r="AE593" s="11"/>
    </row>
    <row r="594" ht="12.75">
      <c r="AE594" s="11"/>
    </row>
    <row r="595" ht="12.75">
      <c r="AE595" s="11"/>
    </row>
    <row r="596" ht="12.75">
      <c r="AE596" s="11"/>
    </row>
    <row r="597" ht="12.75">
      <c r="AE597" s="11"/>
    </row>
    <row r="598" ht="12.75">
      <c r="AE598" s="11"/>
    </row>
    <row r="599" ht="12.75">
      <c r="AE599" s="11"/>
    </row>
    <row r="600" ht="12.75">
      <c r="AE600" s="11"/>
    </row>
    <row r="601" ht="12.75">
      <c r="AE601" s="11"/>
    </row>
    <row r="602" ht="12.75">
      <c r="AE602" s="11"/>
    </row>
    <row r="603" ht="12.75">
      <c r="AE603" s="11"/>
    </row>
    <row r="604" ht="12.75">
      <c r="AE604" s="11"/>
    </row>
    <row r="605" ht="12.75">
      <c r="AE605" s="11"/>
    </row>
    <row r="606" ht="12.75">
      <c r="AE606" s="11"/>
    </row>
    <row r="607" ht="12.75">
      <c r="AE607" s="11"/>
    </row>
    <row r="608" ht="12.75">
      <c r="AE608" s="11"/>
    </row>
    <row r="609" ht="12.75">
      <c r="AE609" s="11"/>
    </row>
    <row r="610" ht="12.75">
      <c r="AE610" s="11"/>
    </row>
    <row r="611" ht="12.75">
      <c r="AE611" s="11"/>
    </row>
    <row r="612" ht="12.75">
      <c r="AE612" s="11"/>
    </row>
    <row r="613" ht="12.75">
      <c r="AE613" s="11"/>
    </row>
    <row r="614" ht="12.75">
      <c r="AE614" s="11"/>
    </row>
    <row r="615" ht="12.75">
      <c r="AE615" s="11"/>
    </row>
    <row r="616" ht="12.75">
      <c r="AE616" s="11"/>
    </row>
    <row r="617" ht="12.75">
      <c r="AE617" s="11"/>
    </row>
    <row r="618" ht="12.75">
      <c r="AE618" s="11"/>
    </row>
    <row r="619" ht="12.75">
      <c r="AE619" s="11"/>
    </row>
    <row r="620" ht="12.75">
      <c r="AE620" s="11"/>
    </row>
    <row r="621" ht="12.75">
      <c r="AE621" s="11"/>
    </row>
    <row r="622" ht="12.75">
      <c r="AE622" s="11"/>
    </row>
    <row r="623" ht="12.75">
      <c r="AE623" s="11"/>
    </row>
    <row r="624" ht="12.75">
      <c r="AE624" s="11"/>
    </row>
    <row r="625" ht="12.75">
      <c r="AE625" s="11"/>
    </row>
    <row r="626" ht="12.75">
      <c r="AE626" s="11"/>
    </row>
    <row r="627" ht="12.75">
      <c r="AE627" s="11"/>
    </row>
    <row r="628" ht="12.75">
      <c r="AE628" s="11"/>
    </row>
    <row r="629" ht="12.75">
      <c r="AE629" s="11"/>
    </row>
    <row r="630" ht="12.75">
      <c r="AE630" s="11"/>
    </row>
    <row r="631" ht="12.75">
      <c r="AE631" s="11"/>
    </row>
    <row r="632" ht="12.75">
      <c r="AE632" s="11"/>
    </row>
    <row r="633" ht="12.75">
      <c r="AE633" s="11"/>
    </row>
    <row r="634" ht="12.75">
      <c r="AE634" s="11"/>
    </row>
    <row r="635" ht="12.75">
      <c r="AE635" s="11"/>
    </row>
    <row r="636" ht="12.75">
      <c r="AE636" s="11"/>
    </row>
    <row r="637" ht="12.75">
      <c r="AE637" s="11"/>
    </row>
    <row r="638" ht="12.75">
      <c r="AE638" s="11"/>
    </row>
    <row r="639" ht="12.75">
      <c r="AE639" s="11"/>
    </row>
    <row r="640" ht="12.75">
      <c r="AE640" s="11"/>
    </row>
    <row r="641" ht="12.75">
      <c r="AE641" s="11"/>
    </row>
    <row r="642" ht="12.75">
      <c r="AE642" s="11"/>
    </row>
    <row r="643" ht="12.75">
      <c r="AE643" s="11"/>
    </row>
    <row r="644" ht="12.75">
      <c r="AE644" s="11"/>
    </row>
    <row r="645" ht="12.75">
      <c r="AE645" s="11"/>
    </row>
    <row r="646" ht="12.75">
      <c r="AE646" s="11"/>
    </row>
    <row r="647" ht="12.75">
      <c r="AE647" s="11"/>
    </row>
    <row r="648" ht="12.75">
      <c r="AE648" s="11"/>
    </row>
    <row r="649" ht="12.75">
      <c r="AE649" s="11"/>
    </row>
    <row r="650" ht="12.75">
      <c r="AE650" s="11"/>
    </row>
    <row r="651" ht="12.75">
      <c r="AE651" s="11"/>
    </row>
    <row r="652" ht="12.75">
      <c r="AE652" s="11"/>
    </row>
    <row r="653" ht="12.75">
      <c r="AE653" s="11"/>
    </row>
    <row r="654" ht="12.75">
      <c r="AE654" s="11"/>
    </row>
    <row r="655" ht="12.75">
      <c r="AE655" s="11"/>
    </row>
    <row r="656" ht="12.75">
      <c r="AE656" s="11"/>
    </row>
    <row r="657" ht="12.75">
      <c r="AE657" s="11"/>
    </row>
    <row r="658" ht="12.75">
      <c r="AE658" s="11"/>
    </row>
    <row r="659" ht="12.75">
      <c r="AE659" s="11"/>
    </row>
    <row r="660" ht="12.75">
      <c r="AE660" s="11"/>
    </row>
    <row r="661" ht="12.75">
      <c r="AE661" s="11"/>
    </row>
    <row r="662" ht="12.75">
      <c r="AE662" s="11"/>
    </row>
    <row r="663" ht="12.75">
      <c r="AE663" s="11"/>
    </row>
    <row r="664" ht="12.75">
      <c r="AE664" s="11"/>
    </row>
    <row r="665" ht="12.75">
      <c r="AE665" s="11"/>
    </row>
    <row r="666" ht="12.75">
      <c r="AE666" s="11"/>
    </row>
    <row r="667" ht="12.75">
      <c r="AE667" s="11"/>
    </row>
    <row r="668" ht="12.75">
      <c r="AE668" s="11"/>
    </row>
    <row r="669" ht="12.75">
      <c r="AE669" s="11"/>
    </row>
    <row r="670" ht="12.75">
      <c r="AE670" s="11"/>
    </row>
    <row r="671" ht="12.75">
      <c r="AE671" s="11"/>
    </row>
    <row r="672" ht="12.75">
      <c r="AE672" s="11"/>
    </row>
    <row r="673" ht="12.75">
      <c r="AE673" s="11"/>
    </row>
    <row r="674" ht="12.75">
      <c r="AE674" s="11"/>
    </row>
    <row r="675" ht="12.75">
      <c r="AE675" s="11"/>
    </row>
    <row r="676" ht="12.75">
      <c r="AE676" s="11"/>
    </row>
    <row r="677" ht="12.75">
      <c r="AE677" s="11"/>
    </row>
    <row r="678" ht="12.75">
      <c r="AE678" s="11"/>
    </row>
    <row r="679" ht="12.75">
      <c r="AE679" s="11"/>
    </row>
    <row r="680" ht="12.75">
      <c r="AE680" s="11"/>
    </row>
    <row r="681" ht="12.75">
      <c r="AE681" s="11"/>
    </row>
    <row r="682" ht="12.75">
      <c r="AE682" s="11"/>
    </row>
    <row r="683" ht="12.75">
      <c r="AE683" s="11"/>
    </row>
    <row r="684" ht="12.75">
      <c r="AE684" s="11"/>
    </row>
    <row r="685" ht="12.75">
      <c r="AE685" s="11"/>
    </row>
    <row r="686" ht="12.75">
      <c r="AE686" s="11"/>
    </row>
    <row r="687" ht="12.75">
      <c r="AE687" s="11"/>
    </row>
    <row r="688" ht="12.75">
      <c r="AE688" s="11"/>
    </row>
    <row r="689" ht="12.75">
      <c r="AE689" s="11"/>
    </row>
    <row r="690" ht="12.75">
      <c r="AE690" s="11"/>
    </row>
    <row r="691" ht="12.75">
      <c r="AE691" s="11"/>
    </row>
    <row r="692" ht="12.75">
      <c r="AE692" s="11"/>
    </row>
    <row r="693" ht="12.75">
      <c r="AE693" s="11"/>
    </row>
    <row r="694" ht="12.75">
      <c r="AE694" s="11"/>
    </row>
    <row r="695" ht="12.75">
      <c r="AE695" s="11"/>
    </row>
    <row r="696" ht="12.75">
      <c r="AE696" s="11"/>
    </row>
    <row r="697" ht="12.75">
      <c r="AE697" s="11"/>
    </row>
    <row r="698" ht="12.75">
      <c r="AE698" s="11"/>
    </row>
    <row r="699" ht="12.75">
      <c r="AE699" s="11"/>
    </row>
    <row r="700" ht="12.75">
      <c r="AE700" s="11"/>
    </row>
    <row r="701" ht="12.75">
      <c r="AE701" s="11"/>
    </row>
    <row r="702" ht="12.75">
      <c r="AE702" s="11"/>
    </row>
    <row r="703" ht="12.75">
      <c r="AE703" s="11"/>
    </row>
    <row r="704" ht="12.75">
      <c r="AE704" s="11"/>
    </row>
    <row r="705" ht="12.75">
      <c r="AE705" s="11"/>
    </row>
    <row r="706" ht="12.75">
      <c r="AE706" s="11"/>
    </row>
    <row r="707" ht="12.75">
      <c r="AE707" s="11"/>
    </row>
    <row r="708" ht="12.75">
      <c r="AE708" s="11"/>
    </row>
    <row r="709" ht="12.75">
      <c r="AE709" s="11"/>
    </row>
    <row r="710" ht="12.75">
      <c r="AE710" s="11"/>
    </row>
    <row r="711" ht="12.75">
      <c r="AE711" s="11"/>
    </row>
    <row r="712" ht="12.75">
      <c r="AE712" s="11"/>
    </row>
    <row r="713" ht="12.75">
      <c r="AE713" s="11"/>
    </row>
    <row r="714" ht="12.75">
      <c r="AE714" s="11"/>
    </row>
    <row r="715" ht="12.75">
      <c r="AE715" s="11"/>
    </row>
    <row r="716" ht="12.75">
      <c r="AE716" s="11"/>
    </row>
    <row r="717" ht="12.75">
      <c r="AE717" s="11"/>
    </row>
    <row r="718" ht="12.75">
      <c r="AE718" s="11"/>
    </row>
    <row r="719" ht="12.75">
      <c r="AE719" s="11"/>
    </row>
    <row r="720" ht="12.75">
      <c r="AE720" s="11"/>
    </row>
    <row r="721" ht="12.75">
      <c r="AE721" s="11"/>
    </row>
    <row r="722" ht="12.75">
      <c r="AE722" s="11"/>
    </row>
    <row r="723" ht="12.75">
      <c r="AE723" s="11"/>
    </row>
    <row r="724" ht="12.75">
      <c r="AE724" s="11"/>
    </row>
    <row r="725" ht="12.75">
      <c r="AE725" s="11"/>
    </row>
    <row r="726" ht="12.75">
      <c r="AE726" s="11"/>
    </row>
    <row r="727" ht="12.75">
      <c r="AE727" s="11"/>
    </row>
    <row r="728" ht="12.75">
      <c r="AE728" s="11"/>
    </row>
    <row r="729" ht="12.75">
      <c r="AE729" s="11"/>
    </row>
    <row r="730" ht="12.75">
      <c r="AE730" s="11"/>
    </row>
    <row r="731" ht="12.75">
      <c r="AE731" s="11"/>
    </row>
    <row r="732" ht="12.75">
      <c r="AE732" s="11"/>
    </row>
    <row r="733" ht="12.75">
      <c r="AE733" s="11"/>
    </row>
    <row r="734" ht="12.75">
      <c r="AE734" s="11"/>
    </row>
    <row r="735" ht="12.75">
      <c r="AE735" s="11"/>
    </row>
    <row r="736" ht="12.75">
      <c r="AE736" s="11"/>
    </row>
    <row r="737" ht="12.75">
      <c r="AE737" s="11"/>
    </row>
    <row r="738" ht="12.75">
      <c r="AE738" s="11"/>
    </row>
    <row r="739" ht="12.75">
      <c r="AE739" s="11"/>
    </row>
    <row r="740" ht="12.75">
      <c r="AE740" s="11"/>
    </row>
    <row r="741" ht="12.75">
      <c r="AE741" s="11"/>
    </row>
    <row r="742" ht="12.75">
      <c r="AE742" s="11"/>
    </row>
    <row r="743" ht="12.75">
      <c r="AE743" s="11"/>
    </row>
    <row r="744" ht="12.75">
      <c r="AE744" s="11"/>
    </row>
    <row r="745" ht="12.75">
      <c r="AE745" s="11"/>
    </row>
    <row r="746" ht="12.75">
      <c r="AE746" s="11"/>
    </row>
    <row r="747" ht="12.75">
      <c r="AE747" s="11"/>
    </row>
    <row r="748" ht="12.75">
      <c r="AE748" s="11"/>
    </row>
    <row r="749" ht="12.75">
      <c r="AE749" s="11"/>
    </row>
    <row r="750" ht="12.75">
      <c r="AE750" s="11"/>
    </row>
    <row r="751" ht="12.75">
      <c r="AE751" s="11"/>
    </row>
    <row r="752" ht="12.75">
      <c r="AE752" s="11"/>
    </row>
    <row r="753" ht="12.75">
      <c r="AE753" s="11"/>
    </row>
    <row r="754" ht="12.75">
      <c r="AE754" s="11"/>
    </row>
    <row r="755" ht="12.75">
      <c r="AE755" s="11"/>
    </row>
    <row r="756" ht="12.75">
      <c r="AE756" s="11"/>
    </row>
    <row r="757" ht="12.75">
      <c r="AE757" s="11"/>
    </row>
    <row r="758" ht="12.75">
      <c r="AE758" s="11"/>
    </row>
    <row r="759" ht="12.75">
      <c r="AE759" s="11"/>
    </row>
    <row r="760" ht="12.75">
      <c r="AE760" s="11"/>
    </row>
    <row r="761" ht="12.75">
      <c r="AE761" s="11"/>
    </row>
    <row r="762" ht="12.75">
      <c r="AE762" s="11"/>
    </row>
    <row r="763" ht="12.75">
      <c r="AE763" s="11"/>
    </row>
    <row r="764" ht="12.75">
      <c r="AE764" s="11"/>
    </row>
    <row r="765" ht="12.75">
      <c r="AE765" s="11"/>
    </row>
    <row r="766" ht="12.75">
      <c r="AE766" s="11"/>
    </row>
    <row r="767" ht="12.75">
      <c r="AE767" s="11"/>
    </row>
    <row r="768" ht="12.75">
      <c r="AE768" s="11"/>
    </row>
    <row r="769" ht="12.75">
      <c r="AE769" s="11"/>
    </row>
    <row r="770" ht="12.75">
      <c r="AE770" s="11"/>
    </row>
    <row r="771" ht="12.75">
      <c r="AE771" s="11"/>
    </row>
    <row r="772" ht="12.75">
      <c r="AE772" s="11"/>
    </row>
    <row r="773" ht="12.75">
      <c r="AE773" s="11"/>
    </row>
    <row r="774" ht="12.75">
      <c r="AE774" s="11"/>
    </row>
    <row r="775" ht="12.75">
      <c r="AE775" s="11"/>
    </row>
    <row r="776" ht="12.75">
      <c r="AE776" s="11"/>
    </row>
    <row r="777" ht="12.75">
      <c r="AE777" s="11"/>
    </row>
    <row r="778" ht="12.75">
      <c r="AE778" s="11"/>
    </row>
    <row r="779" ht="12.75">
      <c r="AE779" s="11"/>
    </row>
    <row r="780" ht="12.75">
      <c r="AE780" s="11"/>
    </row>
    <row r="781" ht="12.75">
      <c r="AE781" s="11"/>
    </row>
    <row r="782" ht="12.75">
      <c r="AE782" s="11"/>
    </row>
    <row r="783" ht="12.75">
      <c r="AE783" s="11"/>
    </row>
    <row r="784" ht="12.75">
      <c r="AE784" s="11"/>
    </row>
    <row r="785" ht="12.75">
      <c r="AE785" s="11"/>
    </row>
    <row r="786" ht="12.75">
      <c r="AE786" s="11"/>
    </row>
    <row r="787" ht="12.75">
      <c r="AE787" s="11"/>
    </row>
    <row r="788" ht="12.75">
      <c r="AE788" s="11"/>
    </row>
    <row r="789" ht="12.75">
      <c r="AE789" s="11"/>
    </row>
    <row r="790" ht="12.75">
      <c r="AE790" s="11"/>
    </row>
    <row r="791" ht="12.75">
      <c r="AE791" s="11"/>
    </row>
    <row r="792" ht="12.75">
      <c r="AE792" s="11"/>
    </row>
    <row r="793" ht="12.75">
      <c r="AE793" s="11"/>
    </row>
    <row r="794" ht="12.75">
      <c r="AE794" s="11"/>
    </row>
    <row r="795" ht="12.75">
      <c r="AE795" s="11"/>
    </row>
    <row r="796" ht="12.75">
      <c r="AE796" s="11"/>
    </row>
    <row r="797" ht="12.75">
      <c r="AE797" s="11"/>
    </row>
    <row r="798" ht="12.75">
      <c r="AE798" s="11"/>
    </row>
    <row r="799" ht="12.75">
      <c r="AE799" s="11"/>
    </row>
    <row r="800" ht="12.75">
      <c r="AE800" s="11"/>
    </row>
    <row r="801" ht="12.75">
      <c r="AE801" s="11"/>
    </row>
    <row r="802" ht="12.75">
      <c r="AE802" s="11"/>
    </row>
    <row r="803" ht="12.75">
      <c r="AE803" s="11"/>
    </row>
    <row r="804" ht="12.75">
      <c r="AE804" s="11"/>
    </row>
    <row r="805" ht="12.75">
      <c r="AE805" s="11"/>
    </row>
    <row r="806" ht="12.75">
      <c r="AE806" s="11"/>
    </row>
    <row r="807" ht="12.75">
      <c r="AE807" s="11"/>
    </row>
    <row r="808" ht="12.75">
      <c r="AE808" s="11"/>
    </row>
    <row r="809" ht="12.75">
      <c r="AE809" s="11"/>
    </row>
    <row r="810" ht="12.75">
      <c r="AE810" s="11"/>
    </row>
    <row r="811" ht="12.75">
      <c r="AE811" s="11"/>
    </row>
    <row r="812" ht="12.75">
      <c r="AE812" s="11"/>
    </row>
    <row r="813" ht="12.75">
      <c r="AE813" s="11"/>
    </row>
    <row r="814" ht="12.75">
      <c r="AE814" s="11"/>
    </row>
    <row r="815" ht="12.75">
      <c r="AE815" s="11"/>
    </row>
    <row r="816" ht="12.75">
      <c r="AE816" s="11"/>
    </row>
    <row r="817" ht="12.75">
      <c r="AE817" s="11"/>
    </row>
    <row r="818" ht="12.75">
      <c r="AE818" s="11"/>
    </row>
    <row r="819" ht="12.75">
      <c r="AE819" s="11"/>
    </row>
    <row r="820" ht="12.75">
      <c r="AE820" s="11"/>
    </row>
    <row r="821" ht="12.75">
      <c r="AE821" s="11"/>
    </row>
    <row r="822" ht="12.75">
      <c r="AE822" s="11"/>
    </row>
    <row r="823" ht="12.75">
      <c r="AE823" s="11"/>
    </row>
    <row r="824" ht="12.75">
      <c r="AE824" s="11"/>
    </row>
    <row r="825" ht="12.75">
      <c r="AE825" s="11"/>
    </row>
    <row r="826" ht="12.75">
      <c r="AE826" s="11"/>
    </row>
    <row r="827" ht="12.75">
      <c r="AE827" s="11"/>
    </row>
    <row r="828" ht="12.75">
      <c r="AE828" s="11"/>
    </row>
    <row r="829" ht="12.75">
      <c r="AE829" s="11"/>
    </row>
    <row r="830" ht="12.75">
      <c r="AE830" s="11"/>
    </row>
    <row r="831" ht="12.75">
      <c r="AE831" s="11"/>
    </row>
    <row r="832" ht="12.75">
      <c r="AE832" s="11"/>
    </row>
    <row r="833" ht="12.75">
      <c r="AE833" s="11"/>
    </row>
    <row r="834" ht="12.75">
      <c r="AE834" s="11"/>
    </row>
    <row r="835" ht="12.75">
      <c r="AE835" s="11"/>
    </row>
    <row r="836" ht="12.75">
      <c r="AE836" s="11"/>
    </row>
    <row r="837" ht="12.75">
      <c r="AE837" s="11"/>
    </row>
    <row r="838" ht="12.75">
      <c r="AE838" s="11"/>
    </row>
    <row r="839" ht="12.75">
      <c r="AE839" s="11"/>
    </row>
    <row r="840" ht="12.75">
      <c r="AE840" s="11"/>
    </row>
    <row r="841" ht="12.75">
      <c r="AE841" s="11"/>
    </row>
    <row r="842" ht="12.75">
      <c r="AE842" s="11"/>
    </row>
    <row r="843" ht="12.75">
      <c r="AE843" s="11"/>
    </row>
    <row r="844" ht="12.75">
      <c r="AE844" s="11"/>
    </row>
    <row r="845" ht="12.75">
      <c r="AE845" s="11"/>
    </row>
    <row r="846" ht="12.75">
      <c r="AE846" s="11"/>
    </row>
    <row r="847" ht="12.75">
      <c r="AE847" s="11"/>
    </row>
    <row r="848" ht="12.75">
      <c r="AE848" s="11"/>
    </row>
    <row r="849" ht="12.75">
      <c r="AE849" s="11"/>
    </row>
    <row r="850" ht="12.75">
      <c r="AE850" s="11"/>
    </row>
    <row r="851" ht="12.75">
      <c r="AE851" s="11"/>
    </row>
    <row r="852" ht="12.75">
      <c r="AE852" s="11"/>
    </row>
    <row r="853" ht="12.75">
      <c r="AE853" s="11"/>
    </row>
    <row r="854" ht="12.75">
      <c r="AE854" s="11"/>
    </row>
    <row r="855" ht="12.75">
      <c r="AE855" s="11"/>
    </row>
    <row r="856" ht="12.75">
      <c r="AE856" s="11"/>
    </row>
    <row r="857" ht="12.75">
      <c r="AE857" s="11"/>
    </row>
    <row r="858" ht="12.75">
      <c r="AE858" s="11"/>
    </row>
    <row r="859" ht="12.75">
      <c r="AE859" s="11"/>
    </row>
    <row r="860" ht="12.75">
      <c r="AE860" s="11"/>
    </row>
    <row r="861" ht="12.75">
      <c r="AE861" s="11"/>
    </row>
    <row r="862" ht="12.75">
      <c r="AE862" s="11"/>
    </row>
    <row r="863" ht="12.75">
      <c r="AE863" s="11"/>
    </row>
    <row r="864" ht="12.75">
      <c r="AE864" s="11"/>
    </row>
    <row r="865" ht="12.75">
      <c r="AE865" s="11"/>
    </row>
    <row r="866" ht="12.75">
      <c r="AE866" s="11"/>
    </row>
    <row r="867" ht="12.75">
      <c r="AE867" s="11"/>
    </row>
    <row r="868" ht="12.75">
      <c r="AE868" s="11"/>
    </row>
    <row r="869" ht="12.75">
      <c r="AE869" s="11"/>
    </row>
    <row r="870" ht="12.75">
      <c r="AE870" s="11"/>
    </row>
    <row r="871" ht="12.75">
      <c r="AE871" s="11"/>
    </row>
    <row r="872" ht="12.75">
      <c r="AE872" s="11"/>
    </row>
    <row r="873" ht="12.75">
      <c r="AE873" s="11"/>
    </row>
    <row r="874" ht="12.75">
      <c r="AE874" s="11"/>
    </row>
    <row r="875" ht="12.75">
      <c r="AE875" s="11"/>
    </row>
    <row r="876" ht="12.75">
      <c r="AE876" s="11"/>
    </row>
    <row r="877" ht="12.75">
      <c r="AE877" s="11"/>
    </row>
    <row r="878" ht="12.75">
      <c r="AE878" s="11"/>
    </row>
    <row r="879" ht="12.75">
      <c r="AE879" s="11"/>
    </row>
    <row r="880" ht="12.75">
      <c r="AE880" s="11"/>
    </row>
    <row r="881" ht="12.75">
      <c r="AE881" s="11"/>
    </row>
    <row r="882" ht="12.75">
      <c r="AE882" s="11"/>
    </row>
    <row r="883" ht="12.75">
      <c r="AE883" s="11"/>
    </row>
    <row r="884" ht="12.75">
      <c r="AE884" s="11"/>
    </row>
    <row r="885" ht="12.75">
      <c r="AE885" s="11"/>
    </row>
    <row r="886" ht="12.75">
      <c r="AE886" s="11"/>
    </row>
    <row r="887" ht="12.75">
      <c r="AE887" s="11"/>
    </row>
    <row r="888" ht="12.75">
      <c r="AE888" s="11"/>
    </row>
    <row r="889" ht="12.75">
      <c r="AE889" s="11"/>
    </row>
    <row r="890" ht="12.75">
      <c r="AE890" s="11"/>
    </row>
    <row r="891" ht="12.75">
      <c r="AE891" s="11"/>
    </row>
    <row r="892" ht="12.75">
      <c r="AE892" s="11"/>
    </row>
    <row r="893" ht="12.75">
      <c r="AE893" s="11"/>
    </row>
    <row r="894" ht="12.75">
      <c r="AE894" s="11"/>
    </row>
    <row r="895" ht="12.75">
      <c r="AE895" s="11"/>
    </row>
    <row r="896" ht="12.75">
      <c r="AE896" s="11"/>
    </row>
    <row r="897" ht="12.75">
      <c r="AE897" s="11"/>
    </row>
    <row r="898" ht="12.75">
      <c r="AE898" s="11"/>
    </row>
    <row r="899" ht="12.75">
      <c r="AE899" s="11"/>
    </row>
    <row r="900" ht="12.75">
      <c r="AE900" s="11"/>
    </row>
    <row r="901" ht="12.75">
      <c r="AE901" s="11"/>
    </row>
    <row r="902" ht="12.75">
      <c r="AE902" s="11"/>
    </row>
    <row r="903" ht="12.75">
      <c r="AE903" s="11"/>
    </row>
    <row r="904" ht="12.75">
      <c r="AE904" s="11"/>
    </row>
    <row r="905" ht="12.75">
      <c r="AE905" s="11"/>
    </row>
    <row r="906" ht="12.75">
      <c r="AE906" s="11"/>
    </row>
    <row r="907" ht="12.75">
      <c r="AE907" s="11"/>
    </row>
    <row r="908" ht="12.75">
      <c r="AE908" s="11"/>
    </row>
    <row r="909" ht="12.75">
      <c r="AE909" s="11"/>
    </row>
    <row r="910" ht="12.75">
      <c r="AE910" s="11"/>
    </row>
    <row r="911" ht="12.75">
      <c r="AE911" s="11"/>
    </row>
    <row r="912" ht="12.75">
      <c r="AE912" s="11"/>
    </row>
    <row r="913" ht="12.75">
      <c r="AE913" s="11"/>
    </row>
    <row r="914" ht="12.75">
      <c r="AE914" s="11"/>
    </row>
    <row r="915" ht="12.75">
      <c r="AE915" s="11"/>
    </row>
    <row r="916" ht="12.75">
      <c r="AE916" s="11"/>
    </row>
    <row r="917" ht="12.75">
      <c r="AE917" s="11"/>
    </row>
    <row r="918" ht="12.75">
      <c r="AE918" s="11"/>
    </row>
    <row r="919" ht="12.75">
      <c r="AE919" s="11"/>
    </row>
    <row r="920" ht="12.75">
      <c r="AE920" s="11"/>
    </row>
    <row r="921" ht="12.75">
      <c r="AE921" s="11"/>
    </row>
    <row r="922" ht="12.75">
      <c r="AE922" s="11"/>
    </row>
    <row r="923" ht="12.75">
      <c r="AE923" s="11"/>
    </row>
    <row r="924" ht="12.75">
      <c r="AE924" s="11"/>
    </row>
    <row r="925" ht="12.75">
      <c r="AE925" s="11"/>
    </row>
    <row r="926" ht="12.75">
      <c r="AE926" s="11"/>
    </row>
    <row r="927" ht="12.75">
      <c r="AE927" s="11"/>
    </row>
    <row r="928" ht="12.75">
      <c r="AE928" s="11"/>
    </row>
    <row r="929" ht="12.75">
      <c r="AE929" s="11"/>
    </row>
    <row r="930" ht="12.75">
      <c r="AE930" s="11"/>
    </row>
    <row r="931" ht="12.75">
      <c r="AE931" s="11"/>
    </row>
    <row r="932" ht="12.75">
      <c r="AE932" s="11"/>
    </row>
    <row r="933" ht="12.75">
      <c r="AE933" s="11"/>
    </row>
    <row r="934" ht="12.75">
      <c r="AE934" s="11"/>
    </row>
    <row r="935" ht="12.75">
      <c r="AE935" s="11"/>
    </row>
    <row r="936" ht="12.75">
      <c r="AE936" s="11"/>
    </row>
    <row r="937" ht="12.75">
      <c r="AE937" s="11"/>
    </row>
    <row r="938" ht="12.75">
      <c r="AE938" s="11"/>
    </row>
    <row r="939" ht="12.75">
      <c r="AE939" s="11"/>
    </row>
    <row r="940" ht="12.75">
      <c r="AE940" s="11"/>
    </row>
    <row r="941" ht="12.75">
      <c r="AE941" s="11"/>
    </row>
    <row r="942" ht="12.75">
      <c r="AE942" s="11"/>
    </row>
    <row r="943" ht="12.75">
      <c r="AE943" s="11"/>
    </row>
    <row r="944" ht="12.75">
      <c r="AE944" s="11"/>
    </row>
    <row r="945" ht="12.75">
      <c r="AE945" s="11"/>
    </row>
    <row r="946" ht="12.75">
      <c r="AE946" s="11"/>
    </row>
    <row r="947" ht="12.75">
      <c r="AE947" s="11"/>
    </row>
    <row r="948" ht="12.75">
      <c r="AE948" s="11"/>
    </row>
    <row r="949" ht="12.75">
      <c r="AE949" s="11"/>
    </row>
    <row r="950" ht="12.75">
      <c r="AE950" s="11"/>
    </row>
    <row r="951" ht="12.75">
      <c r="AE951" s="11"/>
    </row>
    <row r="952" ht="12.75">
      <c r="AE952" s="11"/>
    </row>
    <row r="953" ht="12.75">
      <c r="AE953" s="11"/>
    </row>
    <row r="954" ht="12.75">
      <c r="AE954" s="11"/>
    </row>
    <row r="955" ht="12.75">
      <c r="AE955" s="11"/>
    </row>
    <row r="956" ht="12.75">
      <c r="AE956" s="11"/>
    </row>
    <row r="957" ht="12.75">
      <c r="AE957" s="11"/>
    </row>
    <row r="958" ht="12.75">
      <c r="AE958" s="11"/>
    </row>
    <row r="959" ht="12.75">
      <c r="AE959" s="11"/>
    </row>
    <row r="960" ht="12.75">
      <c r="AE960" s="11"/>
    </row>
    <row r="961" ht="12.75">
      <c r="AE961" s="11"/>
    </row>
    <row r="962" ht="12.75">
      <c r="AE962" s="11"/>
    </row>
    <row r="963" ht="12.75">
      <c r="AE963" s="11"/>
    </row>
    <row r="964" ht="12.75">
      <c r="AE964" s="11"/>
    </row>
    <row r="965" ht="12.75">
      <c r="AE965" s="11"/>
    </row>
    <row r="966" ht="12.75">
      <c r="AE966" s="11"/>
    </row>
    <row r="967" ht="12.75">
      <c r="AE967" s="11"/>
    </row>
    <row r="968" ht="12.75">
      <c r="AE968" s="11"/>
    </row>
    <row r="969" ht="12.75">
      <c r="AE969" s="11"/>
    </row>
    <row r="970" ht="12.75">
      <c r="AE970" s="11"/>
    </row>
    <row r="971" ht="12.75">
      <c r="AE971" s="11"/>
    </row>
    <row r="972" ht="12.75">
      <c r="AE972" s="11"/>
    </row>
    <row r="973" ht="12.75">
      <c r="AE973" s="11"/>
    </row>
    <row r="974" ht="12.75">
      <c r="AE974" s="11"/>
    </row>
    <row r="975" ht="12.75">
      <c r="AE975" s="11"/>
    </row>
    <row r="976" ht="12.75">
      <c r="AE976" s="11"/>
    </row>
    <row r="977" ht="12.75">
      <c r="AE977" s="11"/>
    </row>
    <row r="978" ht="12.75">
      <c r="AE978" s="11"/>
    </row>
    <row r="979" ht="12.75">
      <c r="AE979" s="11"/>
    </row>
    <row r="980" ht="12.75">
      <c r="AE980" s="11"/>
    </row>
    <row r="981" ht="12.75">
      <c r="AE981" s="11"/>
    </row>
    <row r="982" ht="12.75">
      <c r="AE982" s="11"/>
    </row>
    <row r="983" ht="12.75">
      <c r="AE983" s="11"/>
    </row>
    <row r="984" ht="12.75">
      <c r="AE984" s="11"/>
    </row>
    <row r="985" ht="12.75">
      <c r="AE985" s="11"/>
    </row>
    <row r="986" ht="12.75">
      <c r="AE986" s="11"/>
    </row>
    <row r="987" ht="12.75">
      <c r="AE987" s="11"/>
    </row>
    <row r="988" ht="12.75">
      <c r="AE988" s="11"/>
    </row>
    <row r="989" ht="12.75">
      <c r="AE989" s="11"/>
    </row>
    <row r="990" ht="12.75">
      <c r="AE990" s="11"/>
    </row>
    <row r="991" ht="12.75">
      <c r="AE991" s="11"/>
    </row>
    <row r="992" ht="12.75">
      <c r="AE992" s="11"/>
    </row>
    <row r="993" ht="12.75">
      <c r="AE993" s="11"/>
    </row>
    <row r="994" ht="12.75">
      <c r="AE994" s="11"/>
    </row>
    <row r="995" ht="12.75">
      <c r="AE995" s="11"/>
    </row>
    <row r="996" ht="12.75">
      <c r="AE996" s="11"/>
    </row>
    <row r="997" ht="12.75">
      <c r="AE997" s="11"/>
    </row>
    <row r="998" ht="12.75">
      <c r="AE998" s="11"/>
    </row>
    <row r="999" ht="12.75">
      <c r="AE999" s="11"/>
    </row>
    <row r="1000" ht="12.75">
      <c r="AE1000" s="11"/>
    </row>
    <row r="1001" ht="12.75">
      <c r="AE1001" s="11"/>
    </row>
    <row r="1002" ht="12.75">
      <c r="AE1002" s="11"/>
    </row>
    <row r="1003" ht="12.75">
      <c r="AE1003" s="11"/>
    </row>
    <row r="1004" ht="12.75">
      <c r="AE1004" s="11"/>
    </row>
    <row r="1005" ht="12.75">
      <c r="AE1005" s="11"/>
    </row>
    <row r="1006" ht="12.75">
      <c r="AE1006" s="11"/>
    </row>
    <row r="1007" ht="12.75">
      <c r="AE1007" s="11"/>
    </row>
    <row r="1008" ht="12.75">
      <c r="AE1008" s="11"/>
    </row>
    <row r="1009" ht="12.75">
      <c r="AE1009" s="11"/>
    </row>
    <row r="1010" ht="12.75">
      <c r="AE1010" s="11"/>
    </row>
    <row r="1011" ht="12.75">
      <c r="AE1011" s="11"/>
    </row>
    <row r="1012" ht="12.75">
      <c r="AE1012" s="11"/>
    </row>
    <row r="1013" ht="12.75">
      <c r="AE1013" s="11"/>
    </row>
    <row r="1014" ht="12.75">
      <c r="AE1014" s="11"/>
    </row>
    <row r="1015" ht="12.75">
      <c r="AE1015" s="11"/>
    </row>
    <row r="1016" ht="12.75">
      <c r="AE1016" s="11"/>
    </row>
    <row r="1017" ht="12.75">
      <c r="AE1017" s="11"/>
    </row>
    <row r="1018" ht="12.75">
      <c r="AE1018" s="11"/>
    </row>
    <row r="1019" ht="12.75">
      <c r="AE1019" s="11"/>
    </row>
    <row r="1020" ht="12.75">
      <c r="AE1020" s="11"/>
    </row>
    <row r="1021" ht="12.75">
      <c r="AE1021" s="11"/>
    </row>
    <row r="1022" ht="12.75">
      <c r="AE1022" s="11"/>
    </row>
    <row r="1023" ht="12.75">
      <c r="AE1023" s="11"/>
    </row>
    <row r="1024" ht="12.75">
      <c r="AE1024" s="11"/>
    </row>
    <row r="1025" ht="12.75">
      <c r="AE1025" s="11"/>
    </row>
    <row r="1026" ht="12.75">
      <c r="AE1026" s="11"/>
    </row>
    <row r="1027" ht="12.75">
      <c r="AE1027" s="11"/>
    </row>
    <row r="1028" ht="12.75">
      <c r="AE1028" s="11"/>
    </row>
    <row r="1029" ht="12.75">
      <c r="AE1029" s="11"/>
    </row>
    <row r="1030" ht="12.75">
      <c r="AE1030" s="11"/>
    </row>
    <row r="1031" ht="12.75">
      <c r="AE1031" s="11"/>
    </row>
    <row r="1032" ht="12.75">
      <c r="AE1032" s="11"/>
    </row>
    <row r="1033" ht="12.75">
      <c r="AE1033" s="11"/>
    </row>
    <row r="1034" ht="12.75">
      <c r="AE1034" s="11"/>
    </row>
    <row r="1035" ht="12.75">
      <c r="AE1035" s="11"/>
    </row>
    <row r="1036" ht="12.75">
      <c r="AE1036" s="11"/>
    </row>
    <row r="1037" ht="12.75">
      <c r="AE1037" s="11"/>
    </row>
    <row r="1038" ht="12.75">
      <c r="AE1038" s="11"/>
    </row>
    <row r="1039" ht="12.75">
      <c r="AE1039" s="11"/>
    </row>
    <row r="1040" ht="12.75">
      <c r="AE1040" s="11"/>
    </row>
    <row r="1041" ht="12.75">
      <c r="AE1041" s="11"/>
    </row>
    <row r="1042" ht="12.75">
      <c r="AE1042" s="11"/>
    </row>
    <row r="1043" ht="12.75">
      <c r="AE1043" s="11"/>
    </row>
    <row r="1044" ht="12.75">
      <c r="AE1044" s="11"/>
    </row>
    <row r="1045" ht="12.75">
      <c r="AE1045" s="11"/>
    </row>
    <row r="1046" ht="12.75">
      <c r="AE1046" s="11"/>
    </row>
    <row r="1047" ht="12.75">
      <c r="AE1047" s="11"/>
    </row>
    <row r="1048" ht="12.75">
      <c r="AE1048" s="11"/>
    </row>
    <row r="1049" ht="12.75">
      <c r="AE1049" s="11"/>
    </row>
    <row r="1050" ht="12.75">
      <c r="AE1050" s="11"/>
    </row>
    <row r="1051" ht="12.75">
      <c r="AE1051" s="11"/>
    </row>
    <row r="1052" ht="12.75">
      <c r="AE1052" s="11"/>
    </row>
    <row r="1053" ht="12.75">
      <c r="AE1053" s="11"/>
    </row>
    <row r="1054" ht="12.75">
      <c r="AE1054" s="11"/>
    </row>
    <row r="1055" ht="12.75">
      <c r="AE1055" s="11"/>
    </row>
    <row r="1056" ht="12.75">
      <c r="AE1056" s="11"/>
    </row>
    <row r="1057" ht="12.75">
      <c r="AE1057" s="11"/>
    </row>
    <row r="1058" ht="12.75">
      <c r="AE1058" s="11"/>
    </row>
    <row r="1059" ht="12.75">
      <c r="AE1059" s="11"/>
    </row>
    <row r="1060" ht="12.75">
      <c r="AE1060" s="11"/>
    </row>
    <row r="1061" ht="12.75">
      <c r="AE1061" s="11"/>
    </row>
    <row r="1062" ht="12.75">
      <c r="AE1062" s="11"/>
    </row>
    <row r="1063" ht="12.75">
      <c r="AE1063" s="11"/>
    </row>
    <row r="1064" ht="12.75">
      <c r="AE1064" s="11"/>
    </row>
    <row r="1065" ht="12.75">
      <c r="AE1065" s="11"/>
    </row>
    <row r="1066" ht="12.75">
      <c r="AE1066" s="11"/>
    </row>
    <row r="1067" ht="12.75">
      <c r="AE1067" s="11"/>
    </row>
    <row r="1068" ht="12.75">
      <c r="AE1068" s="11"/>
    </row>
    <row r="1069" ht="12.75">
      <c r="AE1069" s="11"/>
    </row>
    <row r="1070" ht="12.75">
      <c r="AE1070" s="11"/>
    </row>
    <row r="1071" ht="12.75">
      <c r="AE1071" s="11"/>
    </row>
    <row r="1072" ht="12.75">
      <c r="AE1072" s="11"/>
    </row>
    <row r="1073" ht="12.75">
      <c r="AE1073" s="11"/>
    </row>
    <row r="1074" ht="12.75">
      <c r="AE1074" s="11"/>
    </row>
    <row r="1075" ht="12.75">
      <c r="AE1075" s="11"/>
    </row>
    <row r="1076" ht="12.75">
      <c r="AE1076" s="11"/>
    </row>
    <row r="1077" ht="12.75">
      <c r="AE1077" s="11"/>
    </row>
    <row r="1078" ht="12.75">
      <c r="AE1078" s="11"/>
    </row>
    <row r="1079" ht="12.75">
      <c r="AE1079" s="11"/>
    </row>
    <row r="1080" ht="12.75">
      <c r="AE1080" s="11"/>
    </row>
    <row r="1081" ht="12.75">
      <c r="AE1081" s="11"/>
    </row>
    <row r="1082" ht="12.75">
      <c r="AE1082" s="11"/>
    </row>
    <row r="1083" ht="12.75">
      <c r="AE1083" s="11"/>
    </row>
    <row r="1084" ht="12.75">
      <c r="AE1084" s="11"/>
    </row>
    <row r="1085" ht="12.75">
      <c r="AE1085" s="11"/>
    </row>
    <row r="1086" ht="12.75">
      <c r="AE1086" s="11"/>
    </row>
    <row r="1087" ht="12.75">
      <c r="AE1087" s="11"/>
    </row>
    <row r="1088" ht="12.75">
      <c r="AE1088" s="11"/>
    </row>
    <row r="1089" ht="12.75">
      <c r="AE1089" s="11"/>
    </row>
    <row r="1090" ht="12.75">
      <c r="AE1090" s="11"/>
    </row>
    <row r="1091" ht="12.75">
      <c r="AE1091" s="11"/>
    </row>
    <row r="1092" ht="12.75">
      <c r="AE1092" s="11"/>
    </row>
    <row r="1093" ht="12.75">
      <c r="AE1093" s="11"/>
    </row>
    <row r="1094" ht="12.75">
      <c r="AE1094" s="11"/>
    </row>
    <row r="1095" ht="12.75">
      <c r="AE1095" s="11"/>
    </row>
    <row r="1096" ht="12.75">
      <c r="AE1096" s="11"/>
    </row>
    <row r="1097" ht="12.75">
      <c r="AE1097" s="11"/>
    </row>
    <row r="1098" ht="12.75">
      <c r="AE1098" s="11"/>
    </row>
    <row r="1099" ht="12.75">
      <c r="AE1099" s="11"/>
    </row>
    <row r="1100" ht="12.75">
      <c r="AE1100" s="11"/>
    </row>
    <row r="1101" ht="12.75">
      <c r="AE1101" s="11"/>
    </row>
    <row r="1102" ht="12.75">
      <c r="AE1102" s="11"/>
    </row>
    <row r="1103" ht="12.75">
      <c r="AE1103" s="11"/>
    </row>
    <row r="1104" ht="12.75">
      <c r="AE1104" s="11"/>
    </row>
    <row r="1105" ht="12.75">
      <c r="AE1105" s="11"/>
    </row>
    <row r="1106" ht="12.75">
      <c r="AE1106" s="11"/>
    </row>
    <row r="1107" ht="12.75">
      <c r="AE1107" s="11"/>
    </row>
    <row r="1108" ht="12.75">
      <c r="AE1108" s="11"/>
    </row>
    <row r="1109" ht="12.75">
      <c r="AE1109" s="11"/>
    </row>
    <row r="1110" ht="12.75">
      <c r="AE1110" s="11"/>
    </row>
    <row r="1111" ht="12.75">
      <c r="AE1111" s="11"/>
    </row>
    <row r="1112" ht="12.75">
      <c r="AE1112" s="11"/>
    </row>
    <row r="1113" ht="12.75">
      <c r="AE1113" s="11"/>
    </row>
    <row r="1114" ht="12.75">
      <c r="AE1114" s="11"/>
    </row>
    <row r="1115" ht="12.75">
      <c r="AE1115" s="11"/>
    </row>
    <row r="1116" ht="12.75">
      <c r="AE1116" s="11"/>
    </row>
    <row r="1117" ht="12.75">
      <c r="AE1117" s="11"/>
    </row>
    <row r="1118" ht="12.75">
      <c r="AE1118" s="11"/>
    </row>
    <row r="1119" ht="12.75">
      <c r="AE1119" s="11"/>
    </row>
    <row r="1120" ht="12.75">
      <c r="AE1120" s="11"/>
    </row>
    <row r="1121" ht="12.75">
      <c r="AE1121" s="11"/>
    </row>
    <row r="1122" ht="12.75">
      <c r="AE1122" s="11"/>
    </row>
    <row r="1123" ht="12.75">
      <c r="AE1123" s="11"/>
    </row>
    <row r="1124" ht="12.75">
      <c r="AE1124" s="11"/>
    </row>
    <row r="1125" ht="12.75">
      <c r="AE1125" s="11"/>
    </row>
    <row r="1126" ht="12.75">
      <c r="AE1126" s="11"/>
    </row>
    <row r="1127" ht="12.75">
      <c r="AE1127" s="11"/>
    </row>
    <row r="1128" ht="12.75">
      <c r="AE1128" s="11"/>
    </row>
    <row r="1129" ht="12.75">
      <c r="AE1129" s="11"/>
    </row>
    <row r="1130" ht="12.75">
      <c r="AE1130" s="11"/>
    </row>
    <row r="1131" ht="12.75">
      <c r="AE1131" s="11"/>
    </row>
    <row r="1132" ht="12.75">
      <c r="AE1132" s="11"/>
    </row>
    <row r="1133" ht="12.75">
      <c r="AE1133" s="11"/>
    </row>
    <row r="1134" ht="12.75">
      <c r="AE1134" s="11"/>
    </row>
    <row r="1135" ht="12.75">
      <c r="AE1135" s="11"/>
    </row>
    <row r="1136" ht="12.75">
      <c r="AE1136" s="11"/>
    </row>
    <row r="1137" ht="12.75">
      <c r="AE1137" s="11"/>
    </row>
    <row r="1138" ht="12.75">
      <c r="AE1138" s="11"/>
    </row>
    <row r="1139" ht="12.75">
      <c r="AE1139" s="11"/>
    </row>
    <row r="1140" ht="12.75">
      <c r="AE1140" s="11"/>
    </row>
    <row r="1141" ht="12.75">
      <c r="AE1141" s="11"/>
    </row>
    <row r="1142" ht="12.75">
      <c r="AE1142" s="11"/>
    </row>
    <row r="1143" ht="12.75">
      <c r="AE1143" s="11"/>
    </row>
    <row r="1144" ht="12.75">
      <c r="AE1144" s="11"/>
    </row>
    <row r="1145" ht="12.75">
      <c r="AE1145" s="11"/>
    </row>
    <row r="1146" ht="12.75">
      <c r="AE1146" s="11"/>
    </row>
    <row r="1147" ht="12.75">
      <c r="AE1147" s="11"/>
    </row>
    <row r="1148" ht="12.75">
      <c r="AE1148" s="11"/>
    </row>
    <row r="1149" ht="12.75">
      <c r="AE1149" s="11"/>
    </row>
    <row r="1150" ht="12.75">
      <c r="AE1150" s="11"/>
    </row>
    <row r="1151" ht="12.75">
      <c r="AE1151" s="11"/>
    </row>
    <row r="1152" ht="12.75">
      <c r="AE1152" s="11"/>
    </row>
    <row r="1153" ht="12.75">
      <c r="AE1153" s="11"/>
    </row>
    <row r="1154" ht="12.75">
      <c r="AE1154" s="11"/>
    </row>
    <row r="1155" ht="12.75">
      <c r="AE1155" s="11"/>
    </row>
    <row r="1156" ht="12.75">
      <c r="AE1156" s="11"/>
    </row>
    <row r="1157" ht="12.75">
      <c r="AE1157" s="11"/>
    </row>
    <row r="1158" ht="12.75">
      <c r="AE1158" s="11"/>
    </row>
    <row r="1159" ht="12.75">
      <c r="AE1159" s="11"/>
    </row>
    <row r="1160" ht="12.75">
      <c r="AE1160" s="11"/>
    </row>
    <row r="1161" ht="12.75">
      <c r="AE1161" s="11"/>
    </row>
    <row r="1162" ht="12.75">
      <c r="AE1162" s="11"/>
    </row>
    <row r="1163" ht="12.75">
      <c r="AE1163" s="11"/>
    </row>
    <row r="1164" ht="12.75">
      <c r="AE1164" s="11"/>
    </row>
    <row r="1165" ht="12.75">
      <c r="AE1165" s="11"/>
    </row>
    <row r="1166" ht="12.75">
      <c r="AE1166" s="11"/>
    </row>
    <row r="1167" ht="12.75">
      <c r="AE1167" s="11"/>
    </row>
    <row r="1168" ht="12.75">
      <c r="AE1168" s="11"/>
    </row>
    <row r="1169" ht="12.75">
      <c r="AE1169" s="11"/>
    </row>
    <row r="1170" ht="12.75">
      <c r="AE1170" s="11"/>
    </row>
    <row r="1171" ht="12.75">
      <c r="AE1171" s="11"/>
    </row>
    <row r="1172" ht="12.75">
      <c r="AE1172" s="11"/>
    </row>
    <row r="1173" ht="12.75">
      <c r="AE1173" s="11"/>
    </row>
    <row r="1174" ht="12.75">
      <c r="AE1174" s="11"/>
    </row>
    <row r="1175" ht="12.75">
      <c r="AE1175" s="11"/>
    </row>
    <row r="1176" ht="12.75">
      <c r="AE1176" s="11"/>
    </row>
    <row r="1177" ht="12.75">
      <c r="AE1177" s="11"/>
    </row>
    <row r="1178" ht="12.75">
      <c r="AE1178" s="11"/>
    </row>
    <row r="1179" ht="12.75">
      <c r="AE1179" s="11"/>
    </row>
    <row r="1180" ht="12.75">
      <c r="AE1180" s="11"/>
    </row>
    <row r="1181" ht="12.75">
      <c r="AE1181" s="11"/>
    </row>
    <row r="1182" ht="12.75">
      <c r="AE1182" s="11"/>
    </row>
    <row r="1183" ht="12.75">
      <c r="AE1183" s="11"/>
    </row>
    <row r="1184" ht="12.75">
      <c r="AE1184" s="11"/>
    </row>
    <row r="1185" ht="12.75">
      <c r="AE1185" s="11"/>
    </row>
    <row r="1186" ht="12.75">
      <c r="AE1186" s="11"/>
    </row>
    <row r="1187" ht="12.75">
      <c r="AE1187" s="11"/>
    </row>
    <row r="1188" ht="12.75">
      <c r="AE1188" s="11"/>
    </row>
    <row r="1189" ht="12.75">
      <c r="AE1189" s="11"/>
    </row>
    <row r="1190" ht="12.75">
      <c r="AE1190" s="11"/>
    </row>
    <row r="1191" ht="12.75">
      <c r="AE1191" s="11"/>
    </row>
    <row r="1192" ht="12.75">
      <c r="AE1192" s="11"/>
    </row>
    <row r="1193" ht="12.75">
      <c r="AE1193" s="11"/>
    </row>
    <row r="1194" ht="12.75">
      <c r="AE1194" s="11"/>
    </row>
    <row r="1195" ht="12.75">
      <c r="AE1195" s="11"/>
    </row>
    <row r="1196" ht="12.75">
      <c r="AE1196" s="11"/>
    </row>
    <row r="1197" ht="12.75">
      <c r="AE1197" s="11"/>
    </row>
    <row r="1198" ht="12.75">
      <c r="AE1198" s="11"/>
    </row>
    <row r="1199" ht="12.75">
      <c r="AE1199" s="11"/>
    </row>
    <row r="1200" ht="12.75">
      <c r="AE1200" s="11"/>
    </row>
    <row r="1201" ht="12.75">
      <c r="AE1201" s="11"/>
    </row>
    <row r="1202" ht="12.75">
      <c r="AE1202" s="11"/>
    </row>
    <row r="1203" ht="12.75">
      <c r="AE1203" s="11"/>
    </row>
    <row r="1204" ht="12.75">
      <c r="AE1204" s="11"/>
    </row>
    <row r="1205" ht="12.75">
      <c r="AE1205" s="11"/>
    </row>
    <row r="1206" ht="12.75">
      <c r="AE1206" s="11"/>
    </row>
    <row r="1207" ht="12.75">
      <c r="AE1207" s="11"/>
    </row>
    <row r="1208" ht="12.75">
      <c r="AE1208" s="11"/>
    </row>
    <row r="1209" ht="12.75">
      <c r="AE1209" s="11"/>
    </row>
    <row r="1210" ht="12.75">
      <c r="AE1210" s="11"/>
    </row>
    <row r="1211" ht="12.75">
      <c r="AE1211" s="11"/>
    </row>
    <row r="1212" ht="12.75">
      <c r="AE1212" s="11"/>
    </row>
    <row r="1213" ht="12.75">
      <c r="AE1213" s="11"/>
    </row>
    <row r="1214" ht="12.75">
      <c r="AE1214" s="11"/>
    </row>
    <row r="1215" ht="12.75">
      <c r="AE1215" s="11"/>
    </row>
    <row r="1216" ht="12.75">
      <c r="AE1216" s="11"/>
    </row>
    <row r="1217" ht="12.75">
      <c r="AE1217" s="11"/>
    </row>
    <row r="1218" ht="12.75">
      <c r="AE1218" s="11"/>
    </row>
    <row r="1219" ht="12.75">
      <c r="AE1219" s="11"/>
    </row>
    <row r="1220" ht="12.75">
      <c r="AE1220" s="11"/>
    </row>
    <row r="1221" ht="12.75">
      <c r="AE1221" s="11"/>
    </row>
    <row r="1222" ht="12.75">
      <c r="AE1222" s="11"/>
    </row>
    <row r="1223" ht="12.75">
      <c r="AE1223" s="11"/>
    </row>
    <row r="1224" ht="12.75">
      <c r="AE1224" s="11"/>
    </row>
    <row r="1225" ht="12.75">
      <c r="AE1225" s="11"/>
    </row>
    <row r="1226" ht="12.75">
      <c r="AE1226" s="11"/>
    </row>
    <row r="1227" ht="12.75">
      <c r="AE1227" s="11"/>
    </row>
    <row r="1228" ht="12.75">
      <c r="AE1228" s="11"/>
    </row>
    <row r="1229" ht="12.75">
      <c r="AE1229" s="11"/>
    </row>
    <row r="1230" ht="12.75">
      <c r="AE1230" s="11"/>
    </row>
    <row r="1231" ht="12.75">
      <c r="AE1231" s="11"/>
    </row>
    <row r="1232" ht="12.75">
      <c r="AE1232" s="11"/>
    </row>
    <row r="1233" ht="12.75">
      <c r="AE1233" s="11"/>
    </row>
    <row r="1234" ht="12.75">
      <c r="AE1234" s="11"/>
    </row>
    <row r="1235" ht="12.75">
      <c r="AE1235" s="11"/>
    </row>
    <row r="1236" ht="12.75">
      <c r="AE1236" s="11"/>
    </row>
    <row r="1237" ht="12.75">
      <c r="AE1237" s="11"/>
    </row>
    <row r="1238" ht="12.75">
      <c r="AE1238" s="11"/>
    </row>
    <row r="1239" ht="12.75">
      <c r="AE1239" s="11"/>
    </row>
    <row r="1240" ht="12.75">
      <c r="AE1240" s="11"/>
    </row>
    <row r="1241" ht="12.75">
      <c r="AE1241" s="11"/>
    </row>
    <row r="1242" ht="12.75">
      <c r="AE1242" s="11"/>
    </row>
    <row r="1243" ht="12.75">
      <c r="AE1243" s="11"/>
    </row>
    <row r="1244" ht="12.75">
      <c r="AE1244" s="11"/>
    </row>
    <row r="1245" ht="12.75">
      <c r="AE1245" s="11"/>
    </row>
    <row r="1246" ht="12.75">
      <c r="AE1246" s="11"/>
    </row>
    <row r="1247" ht="12.75">
      <c r="AE1247" s="11"/>
    </row>
    <row r="1248" ht="12.75">
      <c r="AE1248" s="11"/>
    </row>
    <row r="1249" ht="12.75">
      <c r="AE1249" s="11"/>
    </row>
    <row r="1250" ht="12.75">
      <c r="AE1250" s="11"/>
    </row>
    <row r="1251" ht="12.75">
      <c r="AE1251" s="11"/>
    </row>
    <row r="1252" ht="12.75">
      <c r="AE1252" s="11"/>
    </row>
    <row r="1253" ht="12.75">
      <c r="AE1253" s="11"/>
    </row>
    <row r="1254" ht="12.75">
      <c r="AE1254" s="11"/>
    </row>
    <row r="1255" ht="12.75">
      <c r="AE1255" s="11"/>
    </row>
    <row r="1256" ht="12.75">
      <c r="AE1256" s="11"/>
    </row>
    <row r="1257" ht="12.75">
      <c r="AE1257" s="11"/>
    </row>
    <row r="1258" ht="12.75">
      <c r="AE1258" s="11"/>
    </row>
    <row r="1259" ht="12.75">
      <c r="AE1259" s="11"/>
    </row>
    <row r="1260" ht="12.75">
      <c r="AE1260" s="11"/>
    </row>
    <row r="1261" ht="12.75">
      <c r="AE1261" s="11"/>
    </row>
    <row r="1262" ht="12.75">
      <c r="AE1262" s="11"/>
    </row>
    <row r="1263" ht="12.75">
      <c r="AE1263" s="11"/>
    </row>
    <row r="1264" ht="12.75">
      <c r="AE1264" s="11"/>
    </row>
    <row r="1265" ht="12.75">
      <c r="AE1265" s="11"/>
    </row>
    <row r="1266" ht="12.75">
      <c r="AE1266" s="11"/>
    </row>
    <row r="1267" ht="12.75">
      <c r="AE1267" s="11"/>
    </row>
    <row r="1268" ht="12.75">
      <c r="AE1268" s="11"/>
    </row>
    <row r="1269" ht="12.75">
      <c r="AE1269" s="11"/>
    </row>
    <row r="1270" ht="12.75">
      <c r="AE1270" s="11"/>
    </row>
    <row r="1271" ht="12.75">
      <c r="AE1271" s="11"/>
    </row>
    <row r="1272" ht="12.75">
      <c r="AE1272" s="11"/>
    </row>
    <row r="1273" ht="12.75">
      <c r="AE1273" s="11"/>
    </row>
    <row r="1274" ht="12.75">
      <c r="AE1274" s="11"/>
    </row>
    <row r="1275" ht="12.75">
      <c r="AE1275" s="11"/>
    </row>
    <row r="1276" ht="12.75">
      <c r="AE1276" s="11"/>
    </row>
    <row r="1277" ht="12.75">
      <c r="AE1277" s="11"/>
    </row>
    <row r="1278" ht="12.75">
      <c r="AE1278" s="11"/>
    </row>
    <row r="1279" ht="12.75">
      <c r="AE1279" s="11"/>
    </row>
    <row r="1280" ht="12.75">
      <c r="AE1280" s="11"/>
    </row>
    <row r="1281" ht="12.75">
      <c r="AE1281" s="11"/>
    </row>
    <row r="1282" ht="12.75">
      <c r="AE1282" s="11"/>
    </row>
    <row r="1283" ht="12.75">
      <c r="AE1283" s="11"/>
    </row>
    <row r="1284" ht="12.75">
      <c r="AE1284" s="11"/>
    </row>
    <row r="1285" ht="12.75">
      <c r="AE1285" s="11"/>
    </row>
    <row r="1286" ht="12.75">
      <c r="AE1286" s="11"/>
    </row>
    <row r="1287" ht="12.75">
      <c r="AE1287" s="11"/>
    </row>
    <row r="1288" ht="12.75">
      <c r="AE1288" s="11"/>
    </row>
    <row r="1289" ht="12.75">
      <c r="AE1289" s="11"/>
    </row>
    <row r="1290" ht="12.75">
      <c r="AE1290" s="11"/>
    </row>
    <row r="1291" ht="12.75">
      <c r="AE1291" s="11"/>
    </row>
    <row r="1292" ht="12.75">
      <c r="AE1292" s="11"/>
    </row>
    <row r="1293" ht="12.75">
      <c r="AE1293" s="11"/>
    </row>
    <row r="1294" ht="12.75">
      <c r="AE1294" s="11"/>
    </row>
    <row r="1295" ht="12.75">
      <c r="AE1295" s="11"/>
    </row>
    <row r="1296" ht="12.75">
      <c r="AE1296" s="11"/>
    </row>
    <row r="1297" ht="12.75">
      <c r="AE1297" s="11"/>
    </row>
    <row r="1298" ht="12.75">
      <c r="AE1298" s="11"/>
    </row>
    <row r="1299" ht="12.75">
      <c r="AE1299" s="11"/>
    </row>
    <row r="1300" ht="12.75">
      <c r="AE1300" s="11"/>
    </row>
    <row r="1301" ht="12.75">
      <c r="AE1301" s="11"/>
    </row>
    <row r="1302" ht="12.75">
      <c r="AE1302" s="11"/>
    </row>
    <row r="1303" ht="12.75">
      <c r="AE1303" s="11"/>
    </row>
    <row r="1304" ht="12.75">
      <c r="AE1304" s="11"/>
    </row>
    <row r="1305" ht="12.75">
      <c r="AE1305" s="11"/>
    </row>
    <row r="1306" ht="12.75">
      <c r="AE1306" s="11"/>
    </row>
    <row r="1307" ht="12.75">
      <c r="AE1307" s="11"/>
    </row>
    <row r="1308" ht="12.75">
      <c r="AE1308" s="11"/>
    </row>
    <row r="1309" ht="12.75">
      <c r="AE1309" s="11"/>
    </row>
    <row r="1310" ht="12.75">
      <c r="AE1310" s="11"/>
    </row>
    <row r="1311" ht="12.75">
      <c r="AE1311" s="11"/>
    </row>
    <row r="1312" ht="12.75">
      <c r="AE1312" s="11"/>
    </row>
    <row r="1313" ht="12.75">
      <c r="AE1313" s="11"/>
    </row>
    <row r="1314" ht="12.75">
      <c r="AE1314" s="11"/>
    </row>
    <row r="1315" ht="12.75">
      <c r="AE1315" s="11"/>
    </row>
    <row r="1316" ht="12.75">
      <c r="AE1316" s="11"/>
    </row>
    <row r="1317" ht="12.75">
      <c r="AE1317" s="11"/>
    </row>
    <row r="1318" ht="12.75">
      <c r="AE1318" s="11"/>
    </row>
    <row r="1319" ht="12.75">
      <c r="AE1319" s="11"/>
    </row>
    <row r="1320" ht="12.75">
      <c r="AE1320" s="11"/>
    </row>
    <row r="1321" ht="12.75">
      <c r="AE1321" s="11"/>
    </row>
    <row r="1322" ht="12.75">
      <c r="AE1322" s="11"/>
    </row>
    <row r="1323" ht="12.75">
      <c r="AE1323" s="11"/>
    </row>
  </sheetData>
  <sheetProtection password="DE47" sheet="1" objects="1" scenarios="1" selectLockedCells="1"/>
  <conditionalFormatting sqref="AF23:AF223">
    <cfRule type="expression" priority="1" dxfId="0" stopIfTrue="1">
      <formula>AF23=$AF$21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AD62"/>
  <sheetViews>
    <sheetView showGridLines="0" showRowColHeaders="0" showOutlineSymbols="0" zoomScale="125" zoomScaleNormal="125" workbookViewId="0" topLeftCell="A1">
      <pane xSplit="64" topLeftCell="BM1" activePane="topRight" state="frozen"/>
      <selection pane="topLeft" activeCell="A1" sqref="A1"/>
      <selection pane="topRight" activeCell="R62" sqref="R62"/>
    </sheetView>
  </sheetViews>
  <sheetFormatPr defaultColWidth="9.140625" defaultRowHeight="12.75"/>
  <cols>
    <col min="1" max="1" width="5.00390625" style="14" customWidth="1"/>
    <col min="2" max="7" width="9.140625" style="14" customWidth="1"/>
    <col min="8" max="8" width="9.28125" style="14" bestFit="1" customWidth="1"/>
    <col min="9" max="27" width="9.140625" style="14" customWidth="1"/>
    <col min="28" max="28" width="9.28125" style="14" bestFit="1" customWidth="1"/>
    <col min="29" max="29" width="10.140625" style="14" bestFit="1" customWidth="1"/>
    <col min="30" max="30" width="9.8515625" style="14" bestFit="1" customWidth="1"/>
    <col min="31" max="16384" width="9.140625" style="14" customWidth="1"/>
  </cols>
  <sheetData>
    <row r="1" ht="11.25" customHeight="1"/>
    <row r="2" ht="25.5">
      <c r="B2" s="34" t="s">
        <v>102</v>
      </c>
    </row>
    <row r="3" ht="8.25" customHeight="1"/>
    <row r="4" ht="15.75">
      <c r="B4" s="19" t="s">
        <v>56</v>
      </c>
    </row>
    <row r="5" ht="15.75">
      <c r="B5" s="15" t="s">
        <v>103</v>
      </c>
    </row>
    <row r="6" ht="15.75">
      <c r="B6" s="14" t="s">
        <v>105</v>
      </c>
    </row>
    <row r="7" ht="15.75">
      <c r="B7" s="14" t="s">
        <v>104</v>
      </c>
    </row>
    <row r="8" ht="15.75">
      <c r="B8" s="14" t="s">
        <v>45</v>
      </c>
    </row>
    <row r="9" ht="15.75">
      <c r="B9" s="14" t="s">
        <v>47</v>
      </c>
    </row>
    <row r="10" ht="15.75">
      <c r="B10" s="14" t="s">
        <v>46</v>
      </c>
    </row>
    <row r="11" ht="15.75">
      <c r="B11" s="14" t="s">
        <v>54</v>
      </c>
    </row>
    <row r="12" ht="15.75">
      <c r="B12" s="14" t="s">
        <v>55</v>
      </c>
    </row>
    <row r="13" ht="15.75"/>
    <row r="14" ht="15.75">
      <c r="B14" s="14" t="s">
        <v>48</v>
      </c>
    </row>
    <row r="15" ht="15.75">
      <c r="B15" s="14" t="s">
        <v>49</v>
      </c>
    </row>
    <row r="16" ht="18.75">
      <c r="B16" s="14" t="s">
        <v>50</v>
      </c>
    </row>
    <row r="17" ht="18.75">
      <c r="B17" s="14" t="s">
        <v>51</v>
      </c>
    </row>
    <row r="18" ht="15.75"/>
    <row r="19" ht="15.75">
      <c r="B19" s="14" t="s">
        <v>52</v>
      </c>
    </row>
    <row r="20" ht="18.75">
      <c r="B20" s="18" t="s">
        <v>53</v>
      </c>
    </row>
    <row r="21" ht="15.75"/>
    <row r="22" ht="15.75">
      <c r="B22" s="19" t="s">
        <v>80</v>
      </c>
    </row>
    <row r="23" ht="15.75">
      <c r="B23" s="20" t="s">
        <v>59</v>
      </c>
    </row>
    <row r="24" ht="15.75">
      <c r="B24" s="14" t="s">
        <v>57</v>
      </c>
    </row>
    <row r="25" ht="15.75">
      <c r="B25" s="14" t="s">
        <v>58</v>
      </c>
    </row>
    <row r="26" ht="15.75">
      <c r="B26" s="14" t="s">
        <v>139</v>
      </c>
    </row>
    <row r="27" ht="18.75">
      <c r="B27" s="14" t="s">
        <v>61</v>
      </c>
    </row>
    <row r="28" spans="2:4" ht="18.75">
      <c r="B28" s="14" t="s">
        <v>60</v>
      </c>
      <c r="D28" s="17" t="s">
        <v>62</v>
      </c>
    </row>
    <row r="29" ht="15.75">
      <c r="D29" s="17" t="s">
        <v>63</v>
      </c>
    </row>
    <row r="30" ht="15.75">
      <c r="D30" s="14" t="s">
        <v>140</v>
      </c>
    </row>
    <row r="31" ht="15.75"/>
    <row r="32" ht="15.75">
      <c r="B32" s="14" t="s">
        <v>64</v>
      </c>
    </row>
    <row r="33" ht="15.75"/>
    <row r="34" ht="15.75"/>
    <row r="35" spans="29:30" ht="15.75">
      <c r="AC35" s="14" t="s">
        <v>71</v>
      </c>
      <c r="AD35" s="14">
        <v>100</v>
      </c>
    </row>
    <row r="36" spans="28:30" ht="15.75">
      <c r="AB36" s="22" t="s">
        <v>67</v>
      </c>
      <c r="AC36" s="23" t="s">
        <v>66</v>
      </c>
      <c r="AD36" s="28" t="s">
        <v>70</v>
      </c>
    </row>
    <row r="37" spans="2:30" ht="15.75">
      <c r="B37" s="17" t="s">
        <v>65</v>
      </c>
      <c r="AB37" s="24" t="s">
        <v>68</v>
      </c>
      <c r="AC37" s="25" t="s">
        <v>69</v>
      </c>
      <c r="AD37" s="29" t="s">
        <v>72</v>
      </c>
    </row>
    <row r="38" spans="28:30" ht="15.75">
      <c r="AB38" s="26">
        <v>0</v>
      </c>
      <c r="AC38" s="27">
        <v>0</v>
      </c>
      <c r="AD38" s="30">
        <v>0</v>
      </c>
    </row>
    <row r="39" spans="2:30" ht="15.75">
      <c r="B39" s="15" t="s">
        <v>73</v>
      </c>
      <c r="AB39" s="26">
        <v>0.2</v>
      </c>
      <c r="AC39" s="27">
        <v>0</v>
      </c>
      <c r="AD39" s="30">
        <v>0</v>
      </c>
    </row>
    <row r="40" spans="2:30" ht="15.75">
      <c r="B40" s="14" t="s">
        <v>81</v>
      </c>
      <c r="AB40" s="26">
        <v>0.2</v>
      </c>
      <c r="AC40" s="27">
        <v>0</v>
      </c>
      <c r="AD40" s="30">
        <f>AD35/1000*AC41/(AB41-AB40)</f>
        <v>0.20000000000000004</v>
      </c>
    </row>
    <row r="41" spans="2:30" ht="15.75">
      <c r="B41" s="14" t="s">
        <v>82</v>
      </c>
      <c r="AB41" s="26">
        <v>0.4</v>
      </c>
      <c r="AC41" s="27">
        <v>0.4</v>
      </c>
      <c r="AD41" s="30">
        <f>AD40</f>
        <v>0.20000000000000004</v>
      </c>
    </row>
    <row r="42" spans="2:30" ht="15.75">
      <c r="B42" s="14" t="s">
        <v>83</v>
      </c>
      <c r="AB42" s="26">
        <v>0.4</v>
      </c>
      <c r="AC42" s="27">
        <f>AC41</f>
        <v>0.4</v>
      </c>
      <c r="AD42" s="30">
        <v>0</v>
      </c>
    </row>
    <row r="43" spans="2:30" ht="15.75">
      <c r="B43" s="14" t="s">
        <v>74</v>
      </c>
      <c r="AB43" s="26">
        <v>0.6</v>
      </c>
      <c r="AC43" s="27">
        <f>AC42</f>
        <v>0.4</v>
      </c>
      <c r="AD43" s="30">
        <v>0</v>
      </c>
    </row>
    <row r="44" spans="2:30" ht="15.75">
      <c r="B44" s="14" t="s">
        <v>87</v>
      </c>
      <c r="AB44" s="26">
        <v>0.6</v>
      </c>
      <c r="AC44" s="27">
        <f>AC41</f>
        <v>0.4</v>
      </c>
      <c r="AD44" s="30">
        <f>-AD40</f>
        <v>-0.20000000000000004</v>
      </c>
    </row>
    <row r="45" spans="28:30" ht="15.75">
      <c r="AB45" s="26">
        <v>0.8</v>
      </c>
      <c r="AC45" s="27">
        <v>0</v>
      </c>
      <c r="AD45" s="30">
        <f>AD44</f>
        <v>-0.20000000000000004</v>
      </c>
    </row>
    <row r="46" spans="2:30" ht="18.75">
      <c r="B46" s="14" t="s">
        <v>84</v>
      </c>
      <c r="AB46" s="26">
        <v>0.8</v>
      </c>
      <c r="AC46" s="27">
        <v>0</v>
      </c>
      <c r="AD46" s="30">
        <v>0</v>
      </c>
    </row>
    <row r="47" spans="2:30" ht="15.75">
      <c r="B47" s="14" t="s">
        <v>75</v>
      </c>
      <c r="AB47" s="26">
        <v>1</v>
      </c>
      <c r="AC47" s="27">
        <v>0</v>
      </c>
      <c r="AD47" s="30">
        <v>0</v>
      </c>
    </row>
    <row r="48" ht="15.75">
      <c r="B48" s="14" t="s">
        <v>76</v>
      </c>
    </row>
    <row r="49" ht="15.75">
      <c r="B49" s="14" t="s">
        <v>99</v>
      </c>
    </row>
    <row r="50" ht="18.75">
      <c r="B50" s="31" t="s">
        <v>78</v>
      </c>
    </row>
    <row r="51" spans="28:29" ht="15.75">
      <c r="AB51" s="21"/>
      <c r="AC51" s="21"/>
    </row>
    <row r="52" spans="2:29" ht="15.75">
      <c r="B52" s="14" t="s">
        <v>77</v>
      </c>
      <c r="AB52" s="21"/>
      <c r="AC52" s="21"/>
    </row>
    <row r="53" spans="2:29" ht="18.75">
      <c r="B53" s="31" t="s">
        <v>79</v>
      </c>
      <c r="AB53" s="21"/>
      <c r="AC53" s="21"/>
    </row>
    <row r="54" ht="15.75"/>
    <row r="55" ht="15.75">
      <c r="B55" s="16" t="s">
        <v>88</v>
      </c>
    </row>
    <row r="56" ht="15.75">
      <c r="B56" s="16" t="s">
        <v>85</v>
      </c>
    </row>
    <row r="57" ht="15.75">
      <c r="B57" s="16" t="s">
        <v>86</v>
      </c>
    </row>
    <row r="58" ht="15.75">
      <c r="B58" s="14" t="s">
        <v>141</v>
      </c>
    </row>
    <row r="59" ht="15.75">
      <c r="B59" s="16" t="s">
        <v>100</v>
      </c>
    </row>
    <row r="60" ht="15.75">
      <c r="B60" s="16" t="s">
        <v>101</v>
      </c>
    </row>
    <row r="61" ht="15.75">
      <c r="B61" s="16" t="s">
        <v>142</v>
      </c>
    </row>
    <row r="62" ht="15.75">
      <c r="B62" s="14" t="s">
        <v>146</v>
      </c>
    </row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2002-05-15T20:17:19Z</cp:lastPrinted>
  <dcterms:created xsi:type="dcterms:W3CDTF">2002-05-14T16:19:31Z</dcterms:created>
  <dcterms:modified xsi:type="dcterms:W3CDTF">2007-07-07T20:25:40Z</dcterms:modified>
  <cp:category/>
  <cp:version/>
  <cp:contentType/>
  <cp:contentStatus/>
</cp:coreProperties>
</file>