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35" windowWidth="11340" windowHeight="5775" activeTab="0"/>
  </bookViews>
  <sheets>
    <sheet name="Menu" sheetId="1" r:id="rId1"/>
    <sheet name="Data" sheetId="2" r:id="rId2"/>
    <sheet name="Meting" sheetId="3" r:id="rId3"/>
    <sheet name="Theorie" sheetId="4" r:id="rId4"/>
  </sheets>
  <definedNames/>
  <calcPr fullCalcOnLoad="1"/>
</workbook>
</file>

<file path=xl/sharedStrings.xml><?xml version="1.0" encoding="utf-8"?>
<sst xmlns="http://schemas.openxmlformats.org/spreadsheetml/2006/main" count="191" uniqueCount="177">
  <si>
    <t>Delta T flits =</t>
  </si>
  <si>
    <t>x</t>
  </si>
  <si>
    <t>y</t>
  </si>
  <si>
    <t>Wagen:</t>
  </si>
  <si>
    <t>Wagensnelheid na botsing =</t>
  </si>
  <si>
    <t>Snelheid kogel =</t>
  </si>
  <si>
    <t>Lengte =</t>
  </si>
  <si>
    <t>Hoogte =</t>
  </si>
  <si>
    <t>markeerstifthoogte =</t>
  </si>
  <si>
    <t>y(stiftop)</t>
  </si>
  <si>
    <t>Botsing bij x</t>
  </si>
  <si>
    <t>massa kogel =</t>
  </si>
  <si>
    <t>kg</t>
  </si>
  <si>
    <t>massa wagen =</t>
  </si>
  <si>
    <t>m/s</t>
  </si>
  <si>
    <t>s</t>
  </si>
  <si>
    <t>kogel:</t>
  </si>
  <si>
    <t>lengte =</t>
  </si>
  <si>
    <t>Pootjes airtrack</t>
  </si>
  <si>
    <t>x(L)</t>
  </si>
  <si>
    <t>y(L)</t>
  </si>
  <si>
    <t>x(R)</t>
  </si>
  <si>
    <t>y(R)</t>
  </si>
  <si>
    <t>vertikale positie pootje =</t>
  </si>
  <si>
    <t>Tafelblad</t>
  </si>
  <si>
    <t>vertikaal y=</t>
  </si>
  <si>
    <t>=aantal flitsen</t>
  </si>
  <si>
    <t>Hz</t>
  </si>
  <si>
    <t>midden op y =</t>
  </si>
  <si>
    <t>x stifttop</t>
  </si>
  <si>
    <t>x onder</t>
  </si>
  <si>
    <t>airtrack start bij x =</t>
  </si>
  <si>
    <t>y (stift onder)</t>
  </si>
  <si>
    <t>afstand tot einde track =</t>
  </si>
  <si>
    <t>Meting</t>
  </si>
  <si>
    <t>1. Klik op 'Herstel' om het geweer te laden en het wagentje links op de baan te plaatsen:</t>
  </si>
  <si>
    <t>2. Kies een geschikte flits-frekwentie van de stroboscoop:</t>
  </si>
  <si>
    <t>4. Bepaal bij de gekozen flits-frequentie de afstand die het wagentje heeft afgelegd.</t>
  </si>
  <si>
    <t>Data</t>
  </si>
  <si>
    <t>1. Vul je nummer in ( 1 t/m 40):</t>
  </si>
  <si>
    <t xml:space="preserve"> g</t>
  </si>
  <si>
    <t>Kopie oude flitsfrekwentie</t>
  </si>
  <si>
    <t>flitsfrekwentie</t>
  </si>
  <si>
    <t>Herstel:</t>
  </si>
  <si>
    <t>1-kogel terug: Als V29 = 0 flitsen.</t>
  </si>
  <si>
    <t xml:space="preserve">   wagen ook terug bij V29 &lt;=1</t>
  </si>
  <si>
    <t>Start:</t>
  </si>
  <si>
    <t>1- Geluid activeren</t>
  </si>
  <si>
    <t>Eindstop rail links</t>
  </si>
  <si>
    <t>en rechts</t>
  </si>
  <si>
    <t>3. Schiet het geweer af (met geluid). Er worden 11 foto's gemaakt.</t>
  </si>
  <si>
    <t>2- V30 stapsgewijs ophogen toto 11 flitsen</t>
  </si>
  <si>
    <t>3- V27 0 maken zodat f niet te veranderen is.</t>
  </si>
  <si>
    <t>2- V27 1 maken zodat f te veranderen is.</t>
  </si>
  <si>
    <t>wagen 0:</t>
  </si>
  <si>
    <t>Wagen nr</t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</si>
  <si>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</si>
  <si>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</si>
  <si>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</si>
  <si>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</si>
  <si>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</si>
  <si>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</si>
  <si>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</si>
  <si>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</si>
  <si>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</si>
  <si>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</si>
  <si>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max x=</t>
  </si>
  <si>
    <t>tegen eindstop bij flits</t>
  </si>
  <si>
    <t>=1 dan kun je f veranderen.</t>
  </si>
  <si>
    <t>Theorie</t>
  </si>
  <si>
    <t>1. De wet van behoud van impuls.</t>
  </si>
  <si>
    <t>De wet van behoud van impuls is een combinatie van:</t>
  </si>
  <si>
    <t>b. De derde wet van Newton (De reactiewet)</t>
  </si>
  <si>
    <t>a. De tweede wet van Newton en</t>
  </si>
  <si>
    <t xml:space="preserve">met </t>
  </si>
  <si>
    <t xml:space="preserve">b. De derde wet van Newton luidt: </t>
  </si>
  <si>
    <t>We bekijken een botsing tussen twee voorwerpen A en B.</t>
  </si>
  <si>
    <t>Deze krachten zijn even groot en tegengesteld.</t>
  </si>
  <si>
    <r>
      <t>Tijdens de botsing oefent A een kracht F</t>
    </r>
    <r>
      <rPr>
        <b/>
        <vertAlign val="subscript"/>
        <sz val="10"/>
        <color indexed="57"/>
        <rFont val="Arial"/>
        <family val="2"/>
      </rPr>
      <t>1</t>
    </r>
    <r>
      <rPr>
        <b/>
        <sz val="10"/>
        <color indexed="57"/>
        <rFont val="Arial"/>
        <family val="2"/>
      </rPr>
      <t xml:space="preserve"> uit op B. Tegelijkertijd oefent B een kracht F</t>
    </r>
    <r>
      <rPr>
        <b/>
        <vertAlign val="subscript"/>
        <sz val="10"/>
        <color indexed="57"/>
        <rFont val="Arial"/>
        <family val="2"/>
      </rPr>
      <t>2</t>
    </r>
    <r>
      <rPr>
        <b/>
        <sz val="10"/>
        <color indexed="57"/>
        <rFont val="Arial"/>
        <family val="2"/>
      </rPr>
      <t xml:space="preserve"> uit op A.</t>
    </r>
  </si>
  <si>
    <t xml:space="preserve">a. De tweede wet van Newton luidt: </t>
  </si>
  <si>
    <t>Voor de duidelijkheid zijn beide voorwerpen iets uit elkaar getekend!</t>
  </si>
  <si>
    <r>
      <t>De snelheid voor de botsing is v</t>
    </r>
    <r>
      <rPr>
        <b/>
        <vertAlign val="subscript"/>
        <sz val="10"/>
        <color indexed="57"/>
        <rFont val="Arial"/>
        <family val="2"/>
      </rPr>
      <t>A,voor</t>
    </r>
    <r>
      <rPr>
        <b/>
        <sz val="10"/>
        <color indexed="57"/>
        <rFont val="Arial"/>
        <family val="2"/>
      </rPr>
      <t xml:space="preserve"> en v</t>
    </r>
    <r>
      <rPr>
        <b/>
        <vertAlign val="subscript"/>
        <sz val="10"/>
        <color indexed="57"/>
        <rFont val="Arial"/>
        <family val="2"/>
      </rPr>
      <t>B,voor</t>
    </r>
  </si>
  <si>
    <r>
      <t>De snelheid na de botsing is v</t>
    </r>
    <r>
      <rPr>
        <b/>
        <vertAlign val="subscript"/>
        <sz val="10"/>
        <color indexed="57"/>
        <rFont val="Arial"/>
        <family val="2"/>
      </rPr>
      <t xml:space="preserve">A,na </t>
    </r>
    <r>
      <rPr>
        <b/>
        <sz val="10"/>
        <color indexed="57"/>
        <rFont val="Arial"/>
        <family val="2"/>
      </rPr>
      <t>en v</t>
    </r>
    <r>
      <rPr>
        <b/>
        <vertAlign val="subscript"/>
        <sz val="10"/>
        <color indexed="57"/>
        <rFont val="Arial"/>
        <family val="2"/>
      </rPr>
      <t>B,na</t>
    </r>
  </si>
  <si>
    <t>Formule 2</t>
  </si>
  <si>
    <t>Formule 1</t>
  </si>
  <si>
    <t>Formule 3</t>
  </si>
  <si>
    <r>
      <t xml:space="preserve">en met </t>
    </r>
    <r>
      <rPr>
        <b/>
        <sz val="10"/>
        <color indexed="57"/>
        <rFont val="Symbol"/>
        <family val="1"/>
      </rPr>
      <t>D</t>
    </r>
    <r>
      <rPr>
        <b/>
        <sz val="10"/>
        <color indexed="57"/>
        <rFont val="Arial"/>
        <family val="2"/>
      </rPr>
      <t>v = v</t>
    </r>
    <r>
      <rPr>
        <b/>
        <vertAlign val="subscript"/>
        <sz val="10"/>
        <color indexed="57"/>
        <rFont val="Arial"/>
        <family val="2"/>
      </rPr>
      <t>na</t>
    </r>
    <r>
      <rPr>
        <b/>
        <sz val="10"/>
        <color indexed="57"/>
        <rFont val="Arial"/>
        <family val="2"/>
      </rPr>
      <t xml:space="preserve"> - v</t>
    </r>
    <r>
      <rPr>
        <b/>
        <vertAlign val="subscript"/>
        <sz val="10"/>
        <color indexed="57"/>
        <rFont val="Arial"/>
        <family val="2"/>
      </rPr>
      <t>voor</t>
    </r>
    <r>
      <rPr>
        <b/>
        <sz val="10"/>
        <color indexed="57"/>
        <rFont val="Arial"/>
        <family val="2"/>
      </rPr>
      <t xml:space="preserve"> krijgen we:</t>
    </r>
  </si>
  <si>
    <t>- We werken de haakjes weg en zetten alle grootheden met een index 'voor' rechts van het = teken.</t>
  </si>
  <si>
    <t>- Het product m.v noemen we de impuls p dus p = m.v</t>
  </si>
  <si>
    <t>- We laten de - voor elke term weg.</t>
  </si>
  <si>
    <t>Het resultaat is:</t>
  </si>
  <si>
    <t>Formule 4</t>
  </si>
  <si>
    <r>
      <t xml:space="preserve">wordt met </t>
    </r>
    <r>
      <rPr>
        <b/>
        <u val="single"/>
        <sz val="10"/>
        <color indexed="57"/>
        <rFont val="Arial"/>
        <family val="2"/>
      </rPr>
      <t>formule 1</t>
    </r>
    <r>
      <rPr>
        <b/>
        <sz val="10"/>
        <color indexed="57"/>
        <rFont val="Arial"/>
        <family val="2"/>
      </rPr>
      <t>:</t>
    </r>
  </si>
  <si>
    <r>
      <t xml:space="preserve">Met </t>
    </r>
    <r>
      <rPr>
        <b/>
        <u val="single"/>
        <sz val="10"/>
        <color indexed="57"/>
        <rFont val="Arial"/>
        <family val="2"/>
      </rPr>
      <t>formule 2</t>
    </r>
    <r>
      <rPr>
        <b/>
        <sz val="10"/>
        <color indexed="57"/>
        <rFont val="Arial"/>
        <family val="2"/>
      </rPr>
      <t xml:space="preserve"> wordt dat </t>
    </r>
  </si>
  <si>
    <r>
      <t xml:space="preserve">- Omdat </t>
    </r>
    <r>
      <rPr>
        <b/>
        <sz val="10"/>
        <color indexed="57"/>
        <rFont val="Symbol"/>
        <family val="1"/>
      </rPr>
      <t>D</t>
    </r>
    <r>
      <rPr>
        <b/>
        <sz val="10"/>
        <color indexed="57"/>
        <rFont val="Arial"/>
        <family val="2"/>
      </rPr>
      <t>t</t>
    </r>
    <r>
      <rPr>
        <b/>
        <vertAlign val="subscript"/>
        <sz val="10"/>
        <color indexed="57"/>
        <rFont val="Arial"/>
        <family val="2"/>
      </rPr>
      <t>B</t>
    </r>
    <r>
      <rPr>
        <b/>
        <sz val="10"/>
        <color indexed="57"/>
        <rFont val="Arial"/>
        <family val="2"/>
      </rPr>
      <t xml:space="preserve"> = </t>
    </r>
    <r>
      <rPr>
        <b/>
        <sz val="10"/>
        <color indexed="57"/>
        <rFont val="Symbol"/>
        <family val="1"/>
      </rPr>
      <t>D</t>
    </r>
    <r>
      <rPr>
        <b/>
        <sz val="10"/>
        <color indexed="57"/>
        <rFont val="Arial"/>
        <family val="2"/>
      </rPr>
      <t>t</t>
    </r>
    <r>
      <rPr>
        <b/>
        <vertAlign val="subscript"/>
        <sz val="10"/>
        <color indexed="5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(immers de botsingsduur is voor beiden hetzelfde!) kan </t>
    </r>
    <r>
      <rPr>
        <b/>
        <sz val="10"/>
        <color indexed="57"/>
        <rFont val="Symbol"/>
        <family val="1"/>
      </rPr>
      <t>D</t>
    </r>
    <r>
      <rPr>
        <b/>
        <sz val="10"/>
        <color indexed="57"/>
        <rFont val="Arial"/>
        <family val="2"/>
      </rPr>
      <t>t weggedeeld worden.</t>
    </r>
  </si>
  <si>
    <r>
      <t xml:space="preserve">Conclusie: </t>
    </r>
    <r>
      <rPr>
        <b/>
        <u val="single"/>
        <sz val="10"/>
        <color indexed="10"/>
        <rFont val="Arial"/>
        <family val="2"/>
      </rPr>
      <t>De totale impuls voor de botsing = de totale impuls na de botsing</t>
    </r>
  </si>
  <si>
    <r>
      <t xml:space="preserve">De </t>
    </r>
    <r>
      <rPr>
        <b/>
        <sz val="10"/>
        <color indexed="10"/>
        <rFont val="Arial"/>
        <family val="2"/>
      </rPr>
      <t>rode</t>
    </r>
    <r>
      <rPr>
        <b/>
        <sz val="10"/>
        <color indexed="57"/>
        <rFont val="Arial"/>
        <family val="2"/>
      </rPr>
      <t xml:space="preserve"> kogel blijft steken in een wagentje op de luchtkussenbaan.</t>
    </r>
  </si>
  <si>
    <t>Van het wagentje wordt een stoboscopische foto gemaakt.</t>
  </si>
  <si>
    <t>Op de foto is ook een schaalverdeling in meter te zien.</t>
  </si>
  <si>
    <t>Als de flitsfrequentie te hoog is vallen de 'afbeeldingen' bijna samen, als de frequentie te laag is</t>
  </si>
  <si>
    <t>botst het wagentje tegen de eindstop van de luchtkussenbaan.</t>
  </si>
  <si>
    <t>Onder aan de pagina zie je vier bladtabs:</t>
  </si>
  <si>
    <t>De stroboscopische foto</t>
  </si>
  <si>
    <t>Bladtabs</t>
  </si>
  <si>
    <t>1.</t>
  </si>
  <si>
    <t>2.</t>
  </si>
  <si>
    <t>3.</t>
  </si>
  <si>
    <t>4.</t>
  </si>
  <si>
    <t>- De snelheid van de kogel</t>
  </si>
  <si>
    <t>Menu:</t>
  </si>
  <si>
    <t>Data:</t>
  </si>
  <si>
    <t>Meting:</t>
  </si>
  <si>
    <t>Theorie:</t>
  </si>
  <si>
    <t>Uitleg over het programma.</t>
  </si>
  <si>
    <t>Het invoeren van de constant gehouden grootheden:</t>
  </si>
  <si>
    <t>- De massa van het wagentje op de luchtkussenbaan</t>
  </si>
  <si>
    <t>- Het instellen van de flitsfrequentie</t>
  </si>
  <si>
    <t>- De massa van de kogel</t>
  </si>
  <si>
    <t>- Het afschieten van de kogel (Zet het geluid aan!)</t>
  </si>
  <si>
    <t>- Afleiding van de wet van behoud van impuls</t>
  </si>
  <si>
    <t>-Toepassing van de wet van behoud van impuls op de botsing tussen kogel en wagentje</t>
  </si>
  <si>
    <t>Met dit simulatieprogramma kun je een geweer afschieten.</t>
  </si>
  <si>
    <t>De snelheid van een geweerkogel</t>
  </si>
  <si>
    <t>Klik op 'Beeld' en 'Volledig scherm' om het gehele scherm te benutten!</t>
  </si>
  <si>
    <t>2. De snelheid van de kogel is "volgens de fabrikant':</t>
  </si>
  <si>
    <t>3. De massa van de kogel is:</t>
  </si>
  <si>
    <t>4. De massa van de wagen is:</t>
  </si>
  <si>
    <t xml:space="preserve">    Deze frequentie kan alleen afgelezen worden als je eerst op 'Reset' klikt!</t>
  </si>
  <si>
    <t>Bij het instellen van de flitsfrequentie moet je op het volgende letten:</t>
  </si>
  <si>
    <t>vs01012006</t>
  </si>
  <si>
    <t>- Als het schieten na downloaden niet lukt sla het bestand dan eerst op en probeer het opnieuw.</t>
  </si>
  <si>
    <t>Dat doet zich voor als bijvoorbeeld twee treinwagons botsen waarna ze gekoppeld verder gaan.</t>
  </si>
  <si>
    <t>Als het afschieten niet lukt volg dan de aanwijzingen bij Menu.</t>
  </si>
  <si>
    <t>Na de botsing gaan beiden met dezelfde snelheid verder</t>
  </si>
  <si>
    <t>Een Volvo van 1,0 ton rijdt met 72 km/h en botst frontaal tegen een vrachtwagen (Daf) van 9,0 ton die met 18 km/h rijdt.</t>
  </si>
  <si>
    <t>Geg.:</t>
  </si>
  <si>
    <t>Volvo:</t>
  </si>
  <si>
    <t>Daf:</t>
  </si>
  <si>
    <t>m1 =</t>
  </si>
  <si>
    <t>v1,voor =</t>
  </si>
  <si>
    <t>m2 =</t>
  </si>
  <si>
    <t>v2,voor =</t>
  </si>
  <si>
    <t xml:space="preserve">Beiden: </t>
  </si>
  <si>
    <t>vna =</t>
  </si>
  <si>
    <t>?</t>
  </si>
  <si>
    <t>Opl.:</t>
  </si>
  <si>
    <t>Totale impuls voor = totale impuls na</t>
  </si>
  <si>
    <t>m1.v1,voor + m2.v2,voor = m1.vna + m2.vna</t>
  </si>
  <si>
    <t>1000.20 +10000 . -5 = (1000 + 9000).vna</t>
  </si>
  <si>
    <t>t</t>
  </si>
  <si>
    <t>p1</t>
  </si>
  <si>
    <t>p2</t>
  </si>
  <si>
    <t>Som p</t>
  </si>
  <si>
    <t>v1</t>
  </si>
  <si>
    <t>v2</t>
  </si>
  <si>
    <t>a1</t>
  </si>
  <si>
    <t>a2</t>
  </si>
  <si>
    <t>De impuls - tijd grafieken</t>
  </si>
  <si>
    <t>De kinetische energie - tijd grafiek</t>
  </si>
  <si>
    <t>Fop 1</t>
  </si>
  <si>
    <t>F op 2</t>
  </si>
  <si>
    <t>De versnelling</t>
  </si>
  <si>
    <t>De kracht</t>
  </si>
  <si>
    <t>m/s    Let op het -teken: De Daf rijdt naar links)</t>
  </si>
  <si>
    <t>Ek</t>
  </si>
  <si>
    <t>Ew</t>
  </si>
  <si>
    <t>De snelheid - tijd grafieken (aangenomen dat de botsinging 1 s duurt)</t>
  </si>
  <si>
    <t>2. De wet van behoud van energie.</t>
  </si>
  <si>
    <t>De totale energie voor de botsing = totale energie na de botsing:</t>
  </si>
  <si>
    <t>Ek,voor = Ek,na + Ew</t>
  </si>
  <si>
    <t>Bij een volkomen in-elastische botsing hebben beide voorwerpen na de botsing dezelfde snelheid.</t>
  </si>
  <si>
    <t>3. De volkomen elastische (veerkrachtige) botsing</t>
  </si>
  <si>
    <t>- Bij een volkomen elastische bosing ontstaat geen warmte: Ew = 0</t>
  </si>
  <si>
    <t xml:space="preserve">  Bijvoorbeeld de botsingen tussen molekulen.</t>
  </si>
  <si>
    <t>4. De volkomen in-elastische botsing.</t>
  </si>
  <si>
    <t>5. Voorbeeld:</t>
  </si>
  <si>
    <t>Etot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</si>
</sst>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0.0E+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20"/>
      <color indexed="10"/>
      <name val="Lucida Calligraphy"/>
      <family val="4"/>
    </font>
    <font>
      <b/>
      <sz val="10"/>
      <color indexed="57"/>
      <name val="Arial"/>
      <family val="2"/>
    </font>
    <font>
      <sz val="8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26"/>
      <name val="Arial"/>
      <family val="2"/>
    </font>
    <font>
      <b/>
      <vertAlign val="subscript"/>
      <sz val="10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b/>
      <vertAlign val="subscript"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10"/>
      <color indexed="57"/>
      <name val="Symbol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6"/>
      <name val="Arial"/>
      <family val="2"/>
    </font>
    <font>
      <i/>
      <sz val="10"/>
      <color indexed="26"/>
      <name val="Arial"/>
      <family val="2"/>
    </font>
    <font>
      <b/>
      <i/>
      <sz val="8"/>
      <color indexed="57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.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.5"/>
      <name val="Arial"/>
      <family val="2"/>
    </font>
    <font>
      <sz val="14.5"/>
      <name val="Arial"/>
      <family val="0"/>
    </font>
    <font>
      <b/>
      <vertAlign val="superscript"/>
      <sz val="14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170" fontId="1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 applyProtection="1">
      <alignment horizontal="center"/>
      <protection hidden="1" locked="0"/>
    </xf>
    <xf numFmtId="0" fontId="0" fillId="2" borderId="2" xfId="0" applyFill="1" applyBorder="1" applyAlignment="1">
      <alignment/>
    </xf>
    <xf numFmtId="0" fontId="0" fillId="2" borderId="0" xfId="0" applyFill="1" applyAlignment="1" applyProtection="1">
      <alignment horizontal="right"/>
      <protection hidden="1"/>
    </xf>
    <xf numFmtId="2" fontId="4" fillId="2" borderId="1" xfId="0" applyNumberFormat="1" applyFont="1" applyFill="1" applyBorder="1" applyAlignment="1" applyProtection="1">
      <alignment horizontal="right"/>
      <protection hidden="1"/>
    </xf>
    <xf numFmtId="170" fontId="4" fillId="2" borderId="0" xfId="0" applyNumberFormat="1" applyFont="1" applyFill="1" applyBorder="1" applyAlignment="1" applyProtection="1">
      <alignment horizontal="right"/>
      <protection hidden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 applyProtection="1">
      <alignment/>
      <protection hidden="1" locked="0"/>
    </xf>
    <xf numFmtId="1" fontId="0" fillId="2" borderId="0" xfId="0" applyNumberForma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" fontId="9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 quotePrefix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 applyProtection="1">
      <alignment/>
      <protection hidden="1"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/>
      <protection hidden="1"/>
    </xf>
    <xf numFmtId="170" fontId="11" fillId="2" borderId="0" xfId="0" applyNumberFormat="1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 locked="0"/>
    </xf>
    <xf numFmtId="174" fontId="20" fillId="2" borderId="0" xfId="0" applyNumberFormat="1" applyFont="1" applyFill="1" applyBorder="1" applyAlignment="1" applyProtection="1">
      <alignment/>
      <protection hidden="1"/>
    </xf>
    <xf numFmtId="2" fontId="11" fillId="2" borderId="0" xfId="0" applyNumberFormat="1" applyFont="1" applyFill="1" applyBorder="1" applyAlignment="1" applyProtection="1">
      <alignment/>
      <protection hidden="1" locked="0"/>
    </xf>
    <xf numFmtId="0" fontId="20" fillId="2" borderId="0" xfId="0" applyFont="1" applyFill="1" applyBorder="1" applyAlignment="1" applyProtection="1">
      <alignment horizontal="right"/>
      <protection hidden="1"/>
    </xf>
    <xf numFmtId="2" fontId="11" fillId="2" borderId="0" xfId="0" applyNumberFormat="1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2" fontId="11" fillId="2" borderId="0" xfId="0" applyNumberFormat="1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 horizontal="right"/>
      <protection hidden="1"/>
    </xf>
    <xf numFmtId="2" fontId="20" fillId="2" borderId="0" xfId="0" applyNumberFormat="1" applyFont="1" applyFill="1" applyBorder="1" applyAlignment="1" applyProtection="1">
      <alignment/>
      <protection hidden="1"/>
    </xf>
    <xf numFmtId="171" fontId="20" fillId="2" borderId="0" xfId="0" applyNumberFormat="1" applyFont="1" applyFill="1" applyBorder="1" applyAlignment="1" applyProtection="1">
      <alignment/>
      <protection hidden="1"/>
    </xf>
    <xf numFmtId="1" fontId="21" fillId="2" borderId="0" xfId="0" applyNumberFormat="1" applyFont="1" applyFill="1" applyBorder="1" applyAlignment="1" applyProtection="1">
      <alignment/>
      <protection hidden="1"/>
    </xf>
    <xf numFmtId="0" fontId="22" fillId="2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23" fillId="2" borderId="0" xfId="0" applyFont="1" applyFill="1" applyAlignment="1">
      <alignment/>
    </xf>
    <xf numFmtId="1" fontId="18" fillId="2" borderId="0" xfId="0" applyNumberFormat="1" applyFont="1" applyFill="1" applyBorder="1" applyAlignment="1" applyProtection="1">
      <alignment/>
      <protection hidden="1"/>
    </xf>
    <xf numFmtId="170" fontId="18" fillId="2" borderId="0" xfId="0" applyNumberFormat="1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 quotePrefix="1">
      <alignment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2" fontId="18" fillId="2" borderId="0" xfId="0" applyNumberFormat="1" applyFont="1" applyFill="1" applyBorder="1" applyAlignment="1" applyProtection="1">
      <alignment/>
      <protection hidden="1"/>
    </xf>
    <xf numFmtId="1" fontId="19" fillId="2" borderId="0" xfId="0" applyNumberFormat="1" applyFont="1" applyFill="1" applyBorder="1" applyAlignment="1" applyProtection="1">
      <alignment horizontal="left"/>
      <protection hidden="1"/>
    </xf>
    <xf numFmtId="171" fontId="18" fillId="2" borderId="0" xfId="0" applyNumberFormat="1" applyFont="1" applyFill="1" applyBorder="1" applyAlignment="1" applyProtection="1">
      <alignment/>
      <protection hidden="1"/>
    </xf>
    <xf numFmtId="0" fontId="24" fillId="2" borderId="0" xfId="0" applyFont="1" applyFill="1" applyAlignment="1">
      <alignment/>
    </xf>
    <xf numFmtId="0" fontId="2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170" fontId="24" fillId="2" borderId="0" xfId="0" applyNumberFormat="1" applyFont="1" applyFill="1" applyAlignment="1">
      <alignment/>
    </xf>
    <xf numFmtId="0" fontId="24" fillId="2" borderId="0" xfId="0" applyFont="1" applyFill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scatterChart>
        <c:scatterStyle val="lineMarker"/>
        <c:varyColors val="0"/>
        <c:ser>
          <c:idx val="4"/>
          <c:order val="0"/>
          <c:tx>
            <c:v>airtrack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Meting!$R$40:$R$100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Meting!$S$40:$S$100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Meting!$V$51:$Z$51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Meting!$AA$51:$AE$51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w2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Meting!$V$52:$Z$52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Meting!$AA$52:$AE$52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w3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Meting!$V$53:$Z$53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Meting!$AA$53:$AE$53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w4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Meting!$V$54:$Z$54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Meting!$AA$54:$AE$54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w5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Meting!$V$55:$Z$55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Meting!$AA$55:$AE$55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v>w6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Meting!$V$56:$Z$56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Meting!$AA$56:$AE$56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tx>
            <c:v>w7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Meting!$V$57:$Z$57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Meting!$AA$57:$AE$57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v>w8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Meting!$V$58:$Z$58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Meting!$AA$58:$AE$58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v>w9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Meting!$V$59:$Z$59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Meting!$AA$59:$AE$59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v>w10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Meting!$V$60:$Z$60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Meting!$AA$60:$AE$60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v>w11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Meting!$V$61:$Z$61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Meting!$AA$61:$AE$61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3"/>
          <c:order val="12"/>
          <c:tx>
            <c:v>pootje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Meting!$AJ$51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Meting!$AK$51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3"/>
          <c:tx>
            <c:v>pootje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Meting!$AL$51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Meting!$AM$51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4"/>
          <c:tx>
            <c:v>tafelblad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Meting!$AJ$56:$AJ$57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Meting!$AK$56:$AK$57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5"/>
          <c:tx>
            <c:v>stift 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Meting!$AF$51:$AG$51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Meting!$AH$51:$AI$51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6"/>
          <c:tx>
            <c:v>stift 2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Meting!$AF$52:$AG$52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Meting!$AH$52:$AI$52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7"/>
          <c:tx>
            <c:v>stift 3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Meting!$AF$53:$AG$53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Meting!$AH$53:$AI$53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8"/>
          <c:tx>
            <c:v>stift 4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Meting!$AF$54:$AG$54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Meting!$AH$54:$AI$54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19"/>
          <c:tx>
            <c:v>stift 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Meting!$AF$55:$AG$55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Meting!$AH$55:$AI$55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0"/>
          <c:tx>
            <c:v>stift 6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Meting!$AF$56:$AG$56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Meting!$AH$56:$AI$56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tx>
            <c:v>stift 7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Meting!$AF$57:$AG$57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Meting!$AH$57:$AI$57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tx>
            <c:v>stift 8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Meting!$AF$58:$AG$58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Meting!$AH$58:$AI$58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v>stift 9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Meting!$AF$59:$AG$59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Meting!$AH$59:$AI$59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4"/>
          <c:tx>
            <c:v>stift 10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Meting!$AF$60:$AG$60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Meting!$AH$60:$AI$60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5"/>
          <c:tx>
            <c:v>stift 11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Meting!$AF$61:$AG$61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Meting!$AH$61:$AI$61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26"/>
          <c:tx>
            <c:v>kogel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Meting!$R$31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Meting!$S$31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v>eindstop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Meting!$R$36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Meting!$S$36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v>eindstop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Meting!$R$37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Meting!$S$37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wagen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Meting!$V$44:$Z$44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Meting!$AA$44:$AE$44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6890373"/>
        <c:axId val="63577902"/>
      </c:scatterChart>
      <c:valAx>
        <c:axId val="36890373"/>
        <c:scaling>
          <c:orientation val="minMax"/>
          <c:max val="2.2"/>
          <c:min val="-0.2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63577902"/>
        <c:crosses val="autoZero"/>
        <c:crossBetween val="midCat"/>
        <c:dispUnits/>
        <c:majorUnit val="0.2"/>
        <c:minorUnit val="0.1"/>
      </c:valAx>
      <c:valAx>
        <c:axId val="63577902"/>
        <c:scaling>
          <c:orientation val="minMax"/>
          <c:max val="0.1"/>
          <c:min val="-0.3"/>
        </c:scaling>
        <c:axPos val="l"/>
        <c:delete val="1"/>
        <c:majorTickMark val="out"/>
        <c:minorTickMark val="none"/>
        <c:tickLblPos val="nextTo"/>
        <c:crossAx val="36890373"/>
        <c:crosses val="autoZero"/>
        <c:crossBetween val="midCat"/>
        <c:dispUnits/>
        <c:majorUnit val="0.1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5"/>
          <c:y val="0"/>
          <c:w val="0.668"/>
          <c:h val="0.919"/>
        </c:manualLayout>
      </c:layout>
      <c:scatterChart>
        <c:scatterStyle val="line"/>
        <c:varyColors val="0"/>
        <c:ser>
          <c:idx val="0"/>
          <c:order val="0"/>
          <c:tx>
            <c:v>v1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Theorie!$AA$79:$AA$86</c:f>
              <c:numCache/>
            </c:numRef>
          </c:yVal>
          <c:smooth val="0"/>
        </c:ser>
        <c:ser>
          <c:idx val="1"/>
          <c:order val="1"/>
          <c:tx>
            <c:v>v2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Theorie!$AB$79:$AB$86</c:f>
              <c:numCache/>
            </c:numRef>
          </c:yVal>
          <c:smooth val="0"/>
        </c:ser>
        <c:axId val="35330207"/>
        <c:axId val="49536408"/>
      </c:scatterChart>
      <c:valAx>
        <c:axId val="3533020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crossBetween val="midCat"/>
        <c:dispUnits/>
        <c:majorUnit val="1"/>
      </c:valAx>
      <c:valAx>
        <c:axId val="4953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2775"/>
              <c:y val="0.1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33020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3845"/>
          <c:w val="0.197"/>
          <c:h val="0.1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73375"/>
          <c:h val="0.91925"/>
        </c:manualLayout>
      </c:layout>
      <c:scatterChart>
        <c:scatterStyle val="line"/>
        <c:varyColors val="0"/>
        <c:ser>
          <c:idx val="0"/>
          <c:order val="0"/>
          <c:tx>
            <c:v>p1</c:v>
          </c:tx>
          <c:spPr>
            <a:ln w="381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Theorie!$AC$79:$AC$86</c:f>
              <c:numCache/>
            </c:numRef>
          </c:yVal>
          <c:smooth val="0"/>
        </c:ser>
        <c:ser>
          <c:idx val="1"/>
          <c:order val="1"/>
          <c:tx>
            <c:v>p2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Theorie!$AD$79:$AD$86</c:f>
              <c:numCache/>
            </c:numRef>
          </c:yVal>
          <c:smooth val="0"/>
        </c:ser>
        <c:ser>
          <c:idx val="2"/>
          <c:order val="2"/>
          <c:tx>
            <c:v>totale  p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Theorie!$AE$79:$AE$86</c:f>
              <c:numCache/>
            </c:numRef>
          </c:yVal>
          <c:smooth val="0"/>
        </c:ser>
        <c:axId val="43174489"/>
        <c:axId val="53026082"/>
      </c:scatterChart>
      <c:valAx>
        <c:axId val="431744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3026082"/>
        <c:crosses val="autoZero"/>
        <c:crossBetween val="midCat"/>
        <c:dispUnits/>
        <c:majorUnit val="1"/>
      </c:valAx>
      <c:valAx>
        <c:axId val="5302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 in kgm/s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9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317448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35525"/>
          <c:w val="0.188"/>
          <c:h val="0.408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74775"/>
          <c:h val="0.9235"/>
        </c:manualLayout>
      </c:layout>
      <c:scatterChart>
        <c:scatterStyle val="line"/>
        <c:varyColors val="0"/>
        <c:ser>
          <c:idx val="5"/>
          <c:order val="0"/>
          <c:tx>
            <c:v>Etot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Theorie!$AH$79:$AH$86</c:f>
              <c:numCache/>
            </c:numRef>
          </c:yVal>
          <c:smooth val="0"/>
        </c:ser>
        <c:ser>
          <c:idx val="0"/>
          <c:order val="1"/>
          <c:tx>
            <c:v>Ekvoor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Theorie!$Z$79:$Z$80</c:f>
              <c:numCache/>
            </c:numRef>
          </c:xVal>
          <c:yVal>
            <c:numRef>
              <c:f>Theorie!$AF$79:$AF$80</c:f>
              <c:numCache/>
            </c:numRef>
          </c:yVal>
          <c:smooth val="0"/>
        </c:ser>
        <c:ser>
          <c:idx val="1"/>
          <c:order val="2"/>
          <c:tx>
            <c:v>Ek tijdens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Theorie!$Z$80:$Z$85</c:f>
              <c:numCache/>
            </c:numRef>
          </c:xVal>
          <c:yVal>
            <c:numRef>
              <c:f>Theorie!$AF$80:$AF$85</c:f>
              <c:numCache/>
            </c:numRef>
          </c:yVal>
          <c:smooth val="0"/>
        </c:ser>
        <c:ser>
          <c:idx val="2"/>
          <c:order val="3"/>
          <c:tx>
            <c:v>Ekna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Theorie!$Z$85:$Z$86</c:f>
              <c:numCache/>
            </c:numRef>
          </c:xVal>
          <c:yVal>
            <c:numRef>
              <c:f>Theorie!$AF$85:$AF$86</c:f>
              <c:numCache/>
            </c:numRef>
          </c:yVal>
          <c:smooth val="0"/>
        </c:ser>
        <c:ser>
          <c:idx val="3"/>
          <c:order val="4"/>
          <c:tx>
            <c:v>Ek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5"/>
          <c:tx>
            <c:v>Ew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Theorie!$AG$79:$AG$86</c:f>
              <c:numCache/>
            </c:numRef>
          </c:yVal>
          <c:smooth val="0"/>
        </c:ser>
        <c:axId val="7472691"/>
        <c:axId val="145356"/>
      </c:scatterChart>
      <c:valAx>
        <c:axId val="747269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45356"/>
        <c:crosses val="autoZero"/>
        <c:crossBetween val="midCat"/>
        <c:dispUnits/>
        <c:majorUnit val="1"/>
      </c:valAx>
      <c:valAx>
        <c:axId val="14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 in J</a:t>
                </a:r>
              </a:p>
            </c:rich>
          </c:tx>
          <c:layout>
            <c:manualLayout>
              <c:xMode val="factor"/>
              <c:yMode val="factor"/>
              <c:x val="0.000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775"/>
          <c:y val="0.425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5"/>
          <c:y val="0"/>
          <c:w val="0.68925"/>
          <c:h val="0.9095"/>
        </c:manualLayout>
      </c:layout>
      <c:scatterChart>
        <c:scatterStyle val="line"/>
        <c:varyColors val="0"/>
        <c:ser>
          <c:idx val="0"/>
          <c:order val="0"/>
          <c:tx>
            <c:v>a1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Theorie!$AK$79:$AK$86</c:f>
              <c:numCache/>
            </c:numRef>
          </c:yVal>
          <c:smooth val="0"/>
        </c:ser>
        <c:ser>
          <c:idx val="5"/>
          <c:order val="1"/>
          <c:tx>
            <c:v>a2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Theorie!$AL$79:$AL$86</c:f>
              <c:numCache/>
            </c:numRef>
          </c:yVal>
          <c:smooth val="0"/>
        </c:ser>
        <c:axId val="1308205"/>
        <c:axId val="11773846"/>
      </c:scatterChart>
      <c:valAx>
        <c:axId val="13082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773846"/>
        <c:crosses val="autoZero"/>
        <c:crossBetween val="midCat"/>
        <c:dispUnits/>
        <c:majorUnit val="1"/>
      </c:valAx>
      <c:valAx>
        <c:axId val="11773846"/>
        <c:scaling>
          <c:orientation val="minMax"/>
          <c:max val="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a in m/s</a:t>
                </a:r>
                <a:r>
                  <a:rPr lang="en-US" cap="none" sz="145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0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3895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"/>
          <c:w val="0.7705"/>
          <c:h val="0.91525"/>
        </c:manualLayout>
      </c:layout>
      <c:scatterChart>
        <c:scatterStyle val="line"/>
        <c:varyColors val="0"/>
        <c:ser>
          <c:idx val="0"/>
          <c:order val="0"/>
          <c:tx>
            <c:v>F1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Theorie!$AI$79:$AI$86</c:f>
              <c:numCache/>
            </c:numRef>
          </c:yVal>
          <c:smooth val="0"/>
        </c:ser>
        <c:ser>
          <c:idx val="5"/>
          <c:order val="1"/>
          <c:tx>
            <c:v>F2a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Theorie!$Z$79:$Z$86</c:f>
              <c:numCache/>
            </c:numRef>
          </c:xVal>
          <c:yVal>
            <c:numRef>
              <c:f>Theorie!$AJ$79:$AJ$86</c:f>
              <c:numCache/>
            </c:numRef>
          </c:yVal>
          <c:smooth val="0"/>
        </c:ser>
        <c:axId val="38855751"/>
        <c:axId val="14157440"/>
      </c:scatterChart>
      <c:valAx>
        <c:axId val="388557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4157440"/>
        <c:crosses val="autoZero"/>
        <c:crossBetween val="midCat"/>
        <c:dispUnits/>
        <c:majorUnit val="1"/>
      </c:valAx>
      <c:valAx>
        <c:axId val="14157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 in N</a:t>
                </a:r>
              </a:p>
            </c:rich>
          </c:tx>
          <c:layout>
            <c:manualLayout>
              <c:xMode val="factor"/>
              <c:yMode val="factor"/>
              <c:x val="0.0047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40675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8.emf" /><Relationship Id="rId8" Type="http://schemas.openxmlformats.org/officeDocument/2006/relationships/image" Target="../media/image4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1</xdr:row>
      <xdr:rowOff>114300</xdr:rowOff>
    </xdr:from>
    <xdr:to>
      <xdr:col>11</xdr:col>
      <xdr:colOff>381000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38825" y="27622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85725</xdr:rowOff>
    </xdr:from>
    <xdr:to>
      <xdr:col>11</xdr:col>
      <xdr:colOff>447675</xdr:colOff>
      <xdr:row>22</xdr:row>
      <xdr:rowOff>142875</xdr:rowOff>
    </xdr:to>
    <xdr:grpSp>
      <xdr:nvGrpSpPr>
        <xdr:cNvPr id="1" name="Group 37"/>
        <xdr:cNvGrpSpPr>
          <a:grpSpLocks/>
        </xdr:cNvGrpSpPr>
      </xdr:nvGrpSpPr>
      <xdr:grpSpPr>
        <a:xfrm>
          <a:off x="219075" y="2409825"/>
          <a:ext cx="7200900" cy="1352550"/>
          <a:chOff x="23" y="257"/>
          <a:chExt cx="765" cy="132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23" y="257"/>
          <a:ext cx="665" cy="1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Picture 2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3" y="339"/>
            <a:ext cx="204" cy="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25</xdr:row>
      <xdr:rowOff>57150</xdr:rowOff>
    </xdr:from>
    <xdr:to>
      <xdr:col>11</xdr:col>
      <xdr:colOff>209550</xdr:colOff>
      <xdr:row>29</xdr:row>
      <xdr:rowOff>85725</xdr:rowOff>
    </xdr:to>
    <xdr:grpSp>
      <xdr:nvGrpSpPr>
        <xdr:cNvPr id="1" name="Group 17"/>
        <xdr:cNvGrpSpPr>
          <a:grpSpLocks/>
        </xdr:cNvGrpSpPr>
      </xdr:nvGrpSpPr>
      <xdr:grpSpPr>
        <a:xfrm>
          <a:off x="5057775" y="4152900"/>
          <a:ext cx="1952625" cy="676275"/>
          <a:chOff x="521" y="236"/>
          <a:chExt cx="205" cy="70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570" y="236"/>
            <a:ext cx="34" cy="34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5"/>
          <xdr:cNvSpPr>
            <a:spLocks/>
          </xdr:cNvSpPr>
        </xdr:nvSpPr>
        <xdr:spPr>
          <a:xfrm>
            <a:off x="614" y="241"/>
            <a:ext cx="24" cy="2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615" y="254"/>
            <a:ext cx="5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H="1">
            <a:off x="547" y="254"/>
            <a:ext cx="5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9"/>
          <xdr:cNvSpPr txBox="1">
            <a:spLocks noChangeArrowheads="1"/>
          </xdr:cNvSpPr>
        </xdr:nvSpPr>
        <xdr:spPr>
          <a:xfrm>
            <a:off x="681" y="244"/>
            <a:ext cx="4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" name="TextBox 10"/>
          <xdr:cNvSpPr txBox="1">
            <a:spLocks noChangeArrowheads="1"/>
          </xdr:cNvSpPr>
        </xdr:nvSpPr>
        <xdr:spPr>
          <a:xfrm>
            <a:off x="521" y="242"/>
            <a:ext cx="4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8" name="TextBox 11"/>
          <xdr:cNvSpPr txBox="1">
            <a:spLocks noChangeArrowheads="1"/>
          </xdr:cNvSpPr>
        </xdr:nvSpPr>
        <xdr:spPr>
          <a:xfrm>
            <a:off x="579" y="270"/>
            <a:ext cx="4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9" name="TextBox 12"/>
          <xdr:cNvSpPr txBox="1">
            <a:spLocks noChangeArrowheads="1"/>
          </xdr:cNvSpPr>
        </xdr:nvSpPr>
        <xdr:spPr>
          <a:xfrm>
            <a:off x="616" y="270"/>
            <a:ext cx="4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twoCellAnchor>
    <xdr:from>
      <xdr:col>0</xdr:col>
      <xdr:colOff>600075</xdr:colOff>
      <xdr:row>88</xdr:row>
      <xdr:rowOff>19050</xdr:rowOff>
    </xdr:from>
    <xdr:to>
      <xdr:col>10</xdr:col>
      <xdr:colOff>152400</xdr:colOff>
      <xdr:row>107</xdr:row>
      <xdr:rowOff>76200</xdr:rowOff>
    </xdr:to>
    <xdr:graphicFrame>
      <xdr:nvGraphicFramePr>
        <xdr:cNvPr id="10" name="Chart 29"/>
        <xdr:cNvGraphicFramePr/>
      </xdr:nvGraphicFramePr>
      <xdr:xfrm>
        <a:off x="600075" y="14449425"/>
        <a:ext cx="5743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110</xdr:row>
      <xdr:rowOff>57150</xdr:rowOff>
    </xdr:from>
    <xdr:to>
      <xdr:col>10</xdr:col>
      <xdr:colOff>190500</xdr:colOff>
      <xdr:row>129</xdr:row>
      <xdr:rowOff>95250</xdr:rowOff>
    </xdr:to>
    <xdr:graphicFrame>
      <xdr:nvGraphicFramePr>
        <xdr:cNvPr id="11" name="Chart 30"/>
        <xdr:cNvGraphicFramePr/>
      </xdr:nvGraphicFramePr>
      <xdr:xfrm>
        <a:off x="628650" y="18049875"/>
        <a:ext cx="5753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132</xdr:row>
      <xdr:rowOff>114300</xdr:rowOff>
    </xdr:from>
    <xdr:to>
      <xdr:col>10</xdr:col>
      <xdr:colOff>123825</xdr:colOff>
      <xdr:row>156</xdr:row>
      <xdr:rowOff>85725</xdr:rowOff>
    </xdr:to>
    <xdr:graphicFrame>
      <xdr:nvGraphicFramePr>
        <xdr:cNvPr id="12" name="Chart 31"/>
        <xdr:cNvGraphicFramePr/>
      </xdr:nvGraphicFramePr>
      <xdr:xfrm>
        <a:off x="638175" y="21669375"/>
        <a:ext cx="56769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159</xdr:row>
      <xdr:rowOff>0</xdr:rowOff>
    </xdr:from>
    <xdr:to>
      <xdr:col>10</xdr:col>
      <xdr:colOff>161925</xdr:colOff>
      <xdr:row>182</xdr:row>
      <xdr:rowOff>152400</xdr:rowOff>
    </xdr:to>
    <xdr:graphicFrame>
      <xdr:nvGraphicFramePr>
        <xdr:cNvPr id="13" name="Chart 32"/>
        <xdr:cNvGraphicFramePr/>
      </xdr:nvGraphicFramePr>
      <xdr:xfrm>
        <a:off x="609600" y="25927050"/>
        <a:ext cx="57435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185</xdr:row>
      <xdr:rowOff>0</xdr:rowOff>
    </xdr:from>
    <xdr:to>
      <xdr:col>10</xdr:col>
      <xdr:colOff>200025</xdr:colOff>
      <xdr:row>214</xdr:row>
      <xdr:rowOff>104775</xdr:rowOff>
    </xdr:to>
    <xdr:graphicFrame>
      <xdr:nvGraphicFramePr>
        <xdr:cNvPr id="14" name="Chart 33"/>
        <xdr:cNvGraphicFramePr/>
      </xdr:nvGraphicFramePr>
      <xdr:xfrm>
        <a:off x="609600" y="30137100"/>
        <a:ext cx="5781675" cy="4800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3.vm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B2:K27"/>
  <sheetViews>
    <sheetView showGridLines="0" showRowColHeaders="0" tabSelected="1" showOutlineSymbols="0" zoomScale="125" zoomScaleNormal="125" workbookViewId="0" topLeftCell="A1">
      <pane xSplit="22" ySplit="87" topLeftCell="AD88" activePane="bottomRight" state="frozen"/>
      <selection pane="topLeft" activeCell="A1" sqref="A1"/>
      <selection pane="topRight" activeCell="W1" sqref="W1"/>
      <selection pane="bottomLeft" activeCell="A87" sqref="A87"/>
      <selection pane="bottomRight" activeCell="AD23" sqref="AD23"/>
    </sheetView>
  </sheetViews>
  <sheetFormatPr defaultColWidth="9.140625" defaultRowHeight="12.75"/>
  <cols>
    <col min="1" max="1" width="9.140625" style="1" customWidth="1"/>
    <col min="2" max="2" width="2.8515625" style="1" customWidth="1"/>
    <col min="3" max="16384" width="9.140625" style="1" customWidth="1"/>
  </cols>
  <sheetData>
    <row r="2" spans="2:11" ht="29.25">
      <c r="B2" s="73" t="s">
        <v>122</v>
      </c>
      <c r="C2" s="74"/>
      <c r="D2" s="74"/>
      <c r="E2" s="74"/>
      <c r="F2" s="74"/>
      <c r="G2" s="74"/>
      <c r="H2" s="74"/>
      <c r="I2" s="74"/>
      <c r="J2" s="74"/>
      <c r="K2" s="61" t="s">
        <v>129</v>
      </c>
    </row>
    <row r="3" spans="2:9" ht="12.75">
      <c r="B3" s="8"/>
      <c r="C3" s="8"/>
      <c r="D3" s="8"/>
      <c r="E3" s="8"/>
      <c r="F3" s="8"/>
      <c r="G3" s="8"/>
      <c r="H3" s="8"/>
      <c r="I3" s="8"/>
    </row>
    <row r="4" spans="2:9" ht="12.75">
      <c r="B4" s="8" t="s">
        <v>121</v>
      </c>
      <c r="C4" s="8"/>
      <c r="D4" s="8"/>
      <c r="E4" s="8"/>
      <c r="F4" s="8"/>
      <c r="G4" s="8"/>
      <c r="H4" s="8"/>
      <c r="I4" s="8"/>
    </row>
    <row r="5" spans="2:9" ht="12.75">
      <c r="B5" s="8" t="s">
        <v>96</v>
      </c>
      <c r="C5" s="8"/>
      <c r="D5" s="8"/>
      <c r="E5" s="8"/>
      <c r="F5" s="8"/>
      <c r="G5" s="8"/>
      <c r="H5" s="8"/>
      <c r="I5" s="8"/>
    </row>
    <row r="6" spans="2:9" ht="12.75">
      <c r="B6" s="8"/>
      <c r="C6" s="8"/>
      <c r="D6" s="8"/>
      <c r="E6" s="8"/>
      <c r="F6" s="8"/>
      <c r="G6" s="8"/>
      <c r="H6" s="8"/>
      <c r="I6" s="8"/>
    </row>
    <row r="7" spans="2:9" ht="12.75">
      <c r="B7" s="3" t="s">
        <v>102</v>
      </c>
      <c r="C7" s="8"/>
      <c r="D7" s="8"/>
      <c r="E7" s="8"/>
      <c r="F7" s="8"/>
      <c r="G7" s="8"/>
      <c r="H7" s="8"/>
      <c r="I7" s="8"/>
    </row>
    <row r="8" spans="2:9" ht="12.75">
      <c r="B8" s="8" t="s">
        <v>97</v>
      </c>
      <c r="C8" s="8"/>
      <c r="D8" s="8"/>
      <c r="E8" s="8"/>
      <c r="F8" s="8"/>
      <c r="G8" s="8"/>
      <c r="H8" s="8"/>
      <c r="I8" s="8"/>
    </row>
    <row r="9" spans="2:9" ht="12.75">
      <c r="B9" s="8" t="s">
        <v>128</v>
      </c>
      <c r="C9" s="8"/>
      <c r="D9" s="8"/>
      <c r="E9" s="8"/>
      <c r="F9" s="8"/>
      <c r="G9" s="8"/>
      <c r="H9" s="8"/>
      <c r="I9" s="8"/>
    </row>
    <row r="10" spans="2:9" ht="12.75">
      <c r="B10" s="8" t="s">
        <v>99</v>
      </c>
      <c r="C10" s="8"/>
      <c r="D10" s="8"/>
      <c r="E10" s="8"/>
      <c r="F10" s="8"/>
      <c r="G10" s="8"/>
      <c r="H10" s="8"/>
      <c r="I10" s="8"/>
    </row>
    <row r="11" spans="2:9" ht="12.75">
      <c r="B11" s="8" t="s">
        <v>100</v>
      </c>
      <c r="C11" s="8"/>
      <c r="D11" s="8"/>
      <c r="E11" s="8"/>
      <c r="F11" s="8"/>
      <c r="G11" s="8"/>
      <c r="H11" s="8"/>
      <c r="I11" s="8"/>
    </row>
    <row r="12" spans="2:9" ht="12.75">
      <c r="B12" s="8" t="s">
        <v>98</v>
      </c>
      <c r="C12" s="8"/>
      <c r="D12" s="8"/>
      <c r="E12" s="8"/>
      <c r="F12" s="8"/>
      <c r="G12" s="8"/>
      <c r="H12" s="8"/>
      <c r="I12" s="8"/>
    </row>
    <row r="13" spans="2:9" ht="12.75">
      <c r="B13" s="8"/>
      <c r="C13" s="8"/>
      <c r="D13" s="8"/>
      <c r="E13" s="8"/>
      <c r="F13" s="8"/>
      <c r="G13" s="8"/>
      <c r="H13" s="8"/>
      <c r="I13" s="8"/>
    </row>
    <row r="14" spans="2:9" ht="12.75">
      <c r="B14" s="3" t="s">
        <v>103</v>
      </c>
      <c r="C14" s="8"/>
      <c r="D14" s="8"/>
      <c r="E14" s="8"/>
      <c r="F14" s="8"/>
      <c r="G14" s="8"/>
      <c r="H14" s="8"/>
      <c r="I14" s="8"/>
    </row>
    <row r="15" spans="2:9" ht="12.75">
      <c r="B15" s="8" t="s">
        <v>101</v>
      </c>
      <c r="C15" s="8"/>
      <c r="D15" s="8"/>
      <c r="E15" s="8"/>
      <c r="F15" s="8"/>
      <c r="G15" s="8"/>
      <c r="H15" s="8"/>
      <c r="I15" s="8"/>
    </row>
    <row r="16" spans="2:9" ht="12.75">
      <c r="B16" s="8" t="s">
        <v>104</v>
      </c>
      <c r="C16" s="33" t="s">
        <v>109</v>
      </c>
      <c r="D16" s="8" t="s">
        <v>113</v>
      </c>
      <c r="E16" s="8"/>
      <c r="F16" s="8"/>
      <c r="G16" s="8"/>
      <c r="H16" s="8"/>
      <c r="I16" s="8"/>
    </row>
    <row r="17" spans="2:9" ht="12.75">
      <c r="B17" s="8" t="s">
        <v>105</v>
      </c>
      <c r="C17" s="33" t="s">
        <v>110</v>
      </c>
      <c r="D17" s="8" t="s">
        <v>114</v>
      </c>
      <c r="E17" s="8"/>
      <c r="F17" s="8"/>
      <c r="G17" s="8"/>
      <c r="H17" s="8"/>
      <c r="I17" s="8"/>
    </row>
    <row r="18" spans="2:9" ht="12.75">
      <c r="B18" s="8"/>
      <c r="C18" s="8"/>
      <c r="D18" s="36" t="s">
        <v>108</v>
      </c>
      <c r="E18" s="8"/>
      <c r="F18" s="8"/>
      <c r="G18" s="8"/>
      <c r="H18" s="8"/>
      <c r="I18" s="8"/>
    </row>
    <row r="19" spans="2:9" ht="12.75">
      <c r="B19" s="8"/>
      <c r="C19" s="8"/>
      <c r="D19" s="36" t="s">
        <v>117</v>
      </c>
      <c r="E19" s="8"/>
      <c r="F19" s="8"/>
      <c r="G19" s="8"/>
      <c r="H19" s="8"/>
      <c r="I19" s="8"/>
    </row>
    <row r="20" spans="2:9" ht="12.75">
      <c r="B20" s="8"/>
      <c r="C20" s="8"/>
      <c r="D20" s="36" t="s">
        <v>115</v>
      </c>
      <c r="E20" s="8"/>
      <c r="F20" s="8"/>
      <c r="G20" s="8"/>
      <c r="H20" s="8"/>
      <c r="I20" s="8"/>
    </row>
    <row r="21" spans="2:9" ht="12.75">
      <c r="B21" s="8" t="s">
        <v>106</v>
      </c>
      <c r="C21" s="33" t="s">
        <v>111</v>
      </c>
      <c r="D21" s="36" t="s">
        <v>116</v>
      </c>
      <c r="E21" s="8"/>
      <c r="F21" s="8"/>
      <c r="G21" s="8"/>
      <c r="H21" s="8"/>
      <c r="I21" s="8"/>
    </row>
    <row r="22" spans="2:9" ht="12.75">
      <c r="B22" s="8"/>
      <c r="C22" s="33"/>
      <c r="D22" s="36" t="s">
        <v>118</v>
      </c>
      <c r="E22" s="8"/>
      <c r="F22" s="8"/>
      <c r="G22" s="8"/>
      <c r="H22" s="8"/>
      <c r="I22" s="8"/>
    </row>
    <row r="23" spans="2:9" ht="12.75">
      <c r="B23" s="8"/>
      <c r="C23" s="33"/>
      <c r="D23" s="62" t="s">
        <v>130</v>
      </c>
      <c r="E23" s="8"/>
      <c r="F23" s="8"/>
      <c r="G23" s="8"/>
      <c r="H23" s="8"/>
      <c r="I23" s="8"/>
    </row>
    <row r="24" spans="2:9" ht="12.75">
      <c r="B24" s="8" t="s">
        <v>107</v>
      </c>
      <c r="C24" s="33" t="s">
        <v>112</v>
      </c>
      <c r="D24" s="36" t="s">
        <v>119</v>
      </c>
      <c r="E24" s="8"/>
      <c r="F24" s="8"/>
      <c r="G24" s="8"/>
      <c r="H24" s="8"/>
      <c r="I24" s="8"/>
    </row>
    <row r="25" spans="2:9" ht="12.75">
      <c r="B25" s="8"/>
      <c r="C25" s="8"/>
      <c r="D25" s="36" t="s">
        <v>120</v>
      </c>
      <c r="E25" s="8"/>
      <c r="F25" s="8"/>
      <c r="G25" s="8"/>
      <c r="H25" s="8"/>
      <c r="I25" s="8"/>
    </row>
    <row r="26" spans="2:9" ht="12.75">
      <c r="B26" s="8"/>
      <c r="C26" s="8"/>
      <c r="D26" s="8"/>
      <c r="E26" s="8"/>
      <c r="F26" s="8"/>
      <c r="G26" s="8"/>
      <c r="H26" s="8"/>
      <c r="I26" s="8"/>
    </row>
    <row r="27" ht="12.75">
      <c r="B27" s="8" t="s">
        <v>123</v>
      </c>
    </row>
  </sheetData>
  <sheetProtection password="DE47" sheet="1" objects="1" scenarios="1" selectLockedCells="1" selectUnlockedCells="1"/>
  <mergeCells count="1">
    <mergeCell ref="B2:J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B2:I13"/>
  <sheetViews>
    <sheetView showGridLines="0" showRowColHeaders="0" showOutlineSymbols="0" zoomScale="125" zoomScaleNormal="125" workbookViewId="0" topLeftCell="A1">
      <pane xSplit="17" ySplit="73" topLeftCell="AA74" activePane="bottomRight" state="frozen"/>
      <selection pane="topLeft" activeCell="A1" sqref="A1"/>
      <selection pane="topRight" activeCell="R1" sqref="R1"/>
      <selection pane="bottomLeft" activeCell="A72" sqref="A72"/>
      <selection pane="bottomRight" activeCell="H4" sqref="H4"/>
    </sheetView>
  </sheetViews>
  <sheetFormatPr defaultColWidth="9.140625" defaultRowHeight="12.75"/>
  <cols>
    <col min="1" max="1" width="9.140625" style="1" customWidth="1"/>
    <col min="2" max="2" width="15.28125" style="1" bestFit="1" customWidth="1"/>
    <col min="3" max="3" width="7.57421875" style="1" bestFit="1" customWidth="1"/>
    <col min="4" max="4" width="3.140625" style="1" bestFit="1" customWidth="1"/>
    <col min="5" max="7" width="9.140625" style="1" customWidth="1"/>
    <col min="8" max="8" width="10.7109375" style="1" customWidth="1"/>
    <col min="9" max="16384" width="9.140625" style="1" customWidth="1"/>
  </cols>
  <sheetData>
    <row r="2" ht="26.25">
      <c r="B2" s="7" t="s">
        <v>38</v>
      </c>
    </row>
    <row r="3" spans="2:8" ht="12.75">
      <c r="B3" s="3"/>
      <c r="H3" s="6"/>
    </row>
    <row r="4" spans="2:8" ht="17.25" customHeight="1">
      <c r="B4" s="9" t="s">
        <v>39</v>
      </c>
      <c r="C4" s="10"/>
      <c r="D4" s="10"/>
      <c r="E4" s="10"/>
      <c r="F4" s="45">
        <f>H4</f>
        <v>1</v>
      </c>
      <c r="G4" s="22"/>
      <c r="H4" s="15">
        <v>1</v>
      </c>
    </row>
    <row r="5" spans="2:8" ht="3" customHeight="1">
      <c r="B5" s="3"/>
      <c r="F5" s="19"/>
      <c r="G5" s="5"/>
      <c r="H5" s="16"/>
    </row>
    <row r="6" spans="2:9" ht="18.75" customHeight="1">
      <c r="B6" s="33" t="s">
        <v>124</v>
      </c>
      <c r="C6" s="41"/>
      <c r="D6" s="41"/>
      <c r="E6" s="41"/>
      <c r="F6" s="42"/>
      <c r="G6" s="43"/>
      <c r="H6" s="44">
        <f>H4*5+100</f>
        <v>105</v>
      </c>
      <c r="I6" s="32" t="s">
        <v>14</v>
      </c>
    </row>
    <row r="7" spans="2:8" ht="3" customHeight="1">
      <c r="B7" s="3"/>
      <c r="F7" s="19"/>
      <c r="G7" s="5"/>
      <c r="H7" s="16"/>
    </row>
    <row r="8" spans="2:8" ht="17.25" customHeight="1">
      <c r="B8" s="9" t="s">
        <v>125</v>
      </c>
      <c r="C8" s="10"/>
      <c r="D8" s="10"/>
      <c r="E8" s="10"/>
      <c r="F8" s="20">
        <f>H8/10</f>
        <v>15</v>
      </c>
      <c r="G8" s="23" t="s">
        <v>40</v>
      </c>
      <c r="H8" s="15">
        <v>150</v>
      </c>
    </row>
    <row r="9" spans="2:8" ht="3" customHeight="1">
      <c r="B9" s="3"/>
      <c r="F9" s="4"/>
      <c r="G9" s="5"/>
      <c r="H9" s="6"/>
    </row>
    <row r="10" spans="2:8" ht="17.25" customHeight="1">
      <c r="B10" s="14" t="s">
        <v>126</v>
      </c>
      <c r="C10" s="6"/>
      <c r="D10" s="6"/>
      <c r="E10" s="6"/>
      <c r="F10" s="21">
        <f>H10</f>
        <v>200</v>
      </c>
      <c r="G10" s="24" t="s">
        <v>40</v>
      </c>
      <c r="H10" s="17">
        <v>200</v>
      </c>
    </row>
    <row r="11" spans="2:8" ht="3" customHeight="1">
      <c r="B11" s="18"/>
      <c r="C11" s="18"/>
      <c r="D11" s="18"/>
      <c r="E11" s="18"/>
      <c r="F11" s="18"/>
      <c r="G11" s="18"/>
      <c r="H11" s="6"/>
    </row>
    <row r="12" spans="3:8" ht="17.25" customHeight="1">
      <c r="C12" s="12"/>
      <c r="H12" s="6"/>
    </row>
    <row r="13" ht="12.75">
      <c r="H13" s="6"/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2:AM101"/>
  <sheetViews>
    <sheetView showGridLines="0" showRowColHeaders="0" zoomScale="125" zoomScaleNormal="125" workbookViewId="0" topLeftCell="A1">
      <pane xSplit="14" topLeftCell="V1" activePane="topRight" state="frozen"/>
      <selection pane="topLeft" activeCell="A1" sqref="A1"/>
      <selection pane="topRight" activeCell="V4" sqref="V4"/>
    </sheetView>
  </sheetViews>
  <sheetFormatPr defaultColWidth="9.140625" defaultRowHeight="12.75"/>
  <cols>
    <col min="1" max="1" width="3.28125" style="1" customWidth="1"/>
    <col min="2" max="2" width="19.421875" style="1" customWidth="1"/>
    <col min="3" max="8" width="9.140625" style="1" customWidth="1"/>
    <col min="9" max="9" width="13.00390625" style="1" bestFit="1" customWidth="1"/>
    <col min="10" max="10" width="3.28125" style="1" bestFit="1" customWidth="1"/>
    <col min="11" max="11" width="10.7109375" style="1" customWidth="1"/>
    <col min="12" max="12" width="7.00390625" style="1" customWidth="1"/>
    <col min="13" max="13" width="2.00390625" style="1" customWidth="1"/>
    <col min="14" max="14" width="255.421875" style="31" customWidth="1"/>
    <col min="15" max="15" width="9.140625" style="46" customWidth="1"/>
    <col min="16" max="16" width="25.00390625" style="46" bestFit="1" customWidth="1"/>
    <col min="17" max="17" width="6.7109375" style="46" customWidth="1"/>
    <col min="18" max="18" width="11.8515625" style="46" bestFit="1" customWidth="1"/>
    <col min="19" max="19" width="10.8515625" style="46" bestFit="1" customWidth="1"/>
    <col min="20" max="20" width="16.57421875" style="46" customWidth="1"/>
    <col min="21" max="21" width="10.421875" style="46" bestFit="1" customWidth="1"/>
    <col min="22" max="22" width="15.57421875" style="46" bestFit="1" customWidth="1"/>
    <col min="23" max="23" width="29.00390625" style="38" customWidth="1"/>
    <col min="24" max="24" width="6.28125" style="38" bestFit="1" customWidth="1"/>
    <col min="25" max="25" width="6.57421875" style="38" bestFit="1" customWidth="1"/>
    <col min="26" max="26" width="5.8515625" style="38" bestFit="1" customWidth="1"/>
    <col min="27" max="27" width="7.28125" style="38" bestFit="1" customWidth="1"/>
    <col min="28" max="30" width="9.57421875" style="38" bestFit="1" customWidth="1"/>
    <col min="31" max="31" width="9.421875" style="38" bestFit="1" customWidth="1"/>
    <col min="32" max="32" width="8.421875" style="38" bestFit="1" customWidth="1"/>
    <col min="33" max="33" width="7.421875" style="38" bestFit="1" customWidth="1"/>
    <col min="34" max="34" width="12.57421875" style="38" bestFit="1" customWidth="1"/>
    <col min="35" max="35" width="8.421875" style="38" bestFit="1" customWidth="1"/>
    <col min="36" max="36" width="22.28125" style="38" bestFit="1" customWidth="1"/>
    <col min="37" max="37" width="6.8515625" style="38" bestFit="1" customWidth="1"/>
    <col min="38" max="38" width="12.8515625" style="38" bestFit="1" customWidth="1"/>
    <col min="39" max="39" width="5.8515625" style="39" bestFit="1" customWidth="1"/>
    <col min="40" max="48" width="9.140625" style="39" customWidth="1"/>
    <col min="49" max="116" width="9.140625" style="31" customWidth="1"/>
    <col min="117" max="172" width="9.140625" style="37" customWidth="1"/>
    <col min="173" max="16384" width="9.140625" style="1" customWidth="1"/>
  </cols>
  <sheetData>
    <row r="2" spans="2:11" ht="26.25">
      <c r="B2" s="7" t="s">
        <v>34</v>
      </c>
      <c r="K2" s="26"/>
    </row>
    <row r="3" spans="2:11" ht="12.75">
      <c r="B3" s="63" t="s">
        <v>132</v>
      </c>
      <c r="K3" s="6"/>
    </row>
    <row r="4" spans="2:11" ht="17.25" customHeight="1">
      <c r="B4" s="9" t="s">
        <v>35</v>
      </c>
      <c r="C4" s="10"/>
      <c r="D4" s="10"/>
      <c r="E4" s="10"/>
      <c r="F4" s="10"/>
      <c r="G4" s="10"/>
      <c r="H4" s="10"/>
      <c r="I4" s="10"/>
      <c r="J4" s="10"/>
      <c r="K4" s="6"/>
    </row>
    <row r="5" spans="2:11" ht="3" customHeight="1">
      <c r="B5" s="8"/>
      <c r="K5" s="6"/>
    </row>
    <row r="6" spans="2:11" ht="17.25" customHeight="1">
      <c r="B6" s="9" t="s">
        <v>36</v>
      </c>
      <c r="C6" s="10"/>
      <c r="D6" s="10"/>
      <c r="E6" s="10"/>
      <c r="F6" s="10"/>
      <c r="G6" s="10"/>
      <c r="H6" s="10"/>
      <c r="I6" s="11">
        <f>V27*K6/2</f>
        <v>25.5</v>
      </c>
      <c r="J6" s="13" t="s">
        <v>27</v>
      </c>
      <c r="K6" s="25">
        <v>51</v>
      </c>
    </row>
    <row r="7" spans="2:11" ht="15.75" customHeight="1">
      <c r="B7" s="8" t="s">
        <v>127</v>
      </c>
      <c r="K7" s="6"/>
    </row>
    <row r="8" spans="1:11" ht="3" customHeight="1">
      <c r="A8" s="3"/>
      <c r="B8" s="8"/>
      <c r="K8" s="6"/>
    </row>
    <row r="9" spans="2:11" ht="18.75" customHeight="1">
      <c r="B9" s="9" t="s">
        <v>50</v>
      </c>
      <c r="C9" s="10"/>
      <c r="D9" s="10"/>
      <c r="E9" s="10"/>
      <c r="F9" s="10"/>
      <c r="G9" s="10"/>
      <c r="H9" s="10"/>
      <c r="I9" s="10"/>
      <c r="J9" s="10"/>
      <c r="K9" s="6"/>
    </row>
    <row r="10" spans="2:11" ht="3" customHeight="1">
      <c r="B10" s="8"/>
      <c r="K10" s="6"/>
    </row>
    <row r="11" spans="2:11" ht="18.75" customHeight="1">
      <c r="B11" s="27" t="s">
        <v>37</v>
      </c>
      <c r="C11" s="6"/>
      <c r="D11" s="6"/>
      <c r="E11" s="6"/>
      <c r="F11" s="6"/>
      <c r="G11" s="6"/>
      <c r="H11" s="6"/>
      <c r="I11" s="6"/>
      <c r="J11" s="6"/>
      <c r="K11" s="6"/>
    </row>
    <row r="12" spans="2:11" ht="3" customHeight="1">
      <c r="B12" s="3"/>
      <c r="K12" s="6"/>
    </row>
    <row r="13" spans="2:11" ht="18.75" customHeight="1">
      <c r="B13" s="28">
        <f>IF(V42="","","5. Pas eventueel de flits-frekwentie aan. Het wagentje is tegen de eindstop gebotst bij flits")</f>
      </c>
      <c r="C13" s="29"/>
      <c r="D13" s="29"/>
      <c r="E13" s="29"/>
      <c r="F13" s="29"/>
      <c r="G13" s="29"/>
      <c r="H13" s="29"/>
      <c r="I13" s="29"/>
      <c r="J13" s="29"/>
      <c r="K13" s="30">
        <f>V42</f>
      </c>
    </row>
    <row r="15" spans="2:1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2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W20" s="40" t="s">
        <v>43</v>
      </c>
      <c r="X20" s="40" t="s">
        <v>46</v>
      </c>
    </row>
    <row r="21" spans="2:2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W21" s="38" t="s">
        <v>44</v>
      </c>
      <c r="X21" s="38" t="s">
        <v>47</v>
      </c>
    </row>
    <row r="22" spans="2:2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W22" s="38" t="s">
        <v>45</v>
      </c>
      <c r="X22" s="38" t="s">
        <v>51</v>
      </c>
    </row>
    <row r="23" spans="2:2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W23" s="38" t="s">
        <v>53</v>
      </c>
      <c r="X23" s="38" t="s">
        <v>52</v>
      </c>
    </row>
    <row r="24" spans="16:26" ht="12.75">
      <c r="P24" s="47" t="s">
        <v>11</v>
      </c>
      <c r="Q24" s="47">
        <f>Data!F8/1000</f>
        <v>0.015</v>
      </c>
      <c r="R24" s="46" t="s">
        <v>12</v>
      </c>
      <c r="V24" s="47"/>
      <c r="Y24" s="40"/>
      <c r="Z24" s="40"/>
    </row>
    <row r="25" spans="16:18" ht="12.75">
      <c r="P25" s="46" t="s">
        <v>13</v>
      </c>
      <c r="Q25" s="59">
        <f>Data!F10/1000</f>
        <v>0.2</v>
      </c>
      <c r="R25" s="46" t="s">
        <v>12</v>
      </c>
    </row>
    <row r="26" spans="16:19" ht="12.75">
      <c r="P26" s="46" t="s">
        <v>5</v>
      </c>
      <c r="R26" s="48">
        <f>Data!$H$6</f>
        <v>105</v>
      </c>
      <c r="S26" s="46" t="s">
        <v>14</v>
      </c>
    </row>
    <row r="27" spans="16:23" ht="12.75">
      <c r="P27" s="46" t="s">
        <v>4</v>
      </c>
      <c r="R27" s="49">
        <f>Q24*R26/(Q24+Q25)</f>
        <v>7.325581395348836</v>
      </c>
      <c r="S27" s="46" t="s">
        <v>14</v>
      </c>
      <c r="V27" s="50">
        <v>1</v>
      </c>
      <c r="W27" s="66" t="s">
        <v>68</v>
      </c>
    </row>
    <row r="28" spans="16:23" ht="12.75">
      <c r="P28" s="46" t="s">
        <v>0</v>
      </c>
      <c r="R28" s="51">
        <f>1/V28</f>
        <v>0.0392156862745098</v>
      </c>
      <c r="S28" s="46" t="s">
        <v>15</v>
      </c>
      <c r="V28" s="52">
        <f>K6/2</f>
        <v>25.5</v>
      </c>
      <c r="W28" s="38" t="s">
        <v>42</v>
      </c>
    </row>
    <row r="29" spans="22:27" ht="12.75">
      <c r="V29" s="52"/>
      <c r="W29" s="38" t="s">
        <v>41</v>
      </c>
      <c r="AA29" s="40"/>
    </row>
    <row r="30" spans="16:23" ht="12.75">
      <c r="P30" s="47" t="s">
        <v>16</v>
      </c>
      <c r="R30" s="53" t="s">
        <v>1</v>
      </c>
      <c r="S30" s="53" t="s">
        <v>2</v>
      </c>
      <c r="V30" s="50">
        <f>0</f>
        <v>0</v>
      </c>
      <c r="W30" s="66" t="s">
        <v>26</v>
      </c>
    </row>
    <row r="31" spans="16:19" ht="12.75">
      <c r="P31" s="47"/>
      <c r="Q31" s="47"/>
      <c r="R31" s="54">
        <f>IF(V30=0,-0.2,MAX(V51:V61)+U47/2)</f>
        <v>-0.2</v>
      </c>
      <c r="S31" s="54">
        <f>U48+0.5*U49</f>
        <v>-0.19</v>
      </c>
    </row>
    <row r="32" spans="16:23" ht="12.75">
      <c r="P32" s="47"/>
      <c r="Q32" s="47"/>
      <c r="R32" s="54"/>
      <c r="S32" s="54"/>
      <c r="W32" s="66"/>
    </row>
    <row r="33" spans="16:23" ht="12.75">
      <c r="P33" s="47"/>
      <c r="Q33" s="47"/>
      <c r="R33" s="54"/>
      <c r="S33" s="55"/>
      <c r="W33" s="66"/>
    </row>
    <row r="34" spans="16:23" ht="12.75">
      <c r="P34" s="47"/>
      <c r="Q34" s="47"/>
      <c r="R34" s="54"/>
      <c r="S34" s="55"/>
      <c r="W34" s="66"/>
    </row>
    <row r="35" spans="16:23" ht="12.75">
      <c r="P35" s="47"/>
      <c r="Q35" s="47"/>
      <c r="R35" s="54"/>
      <c r="S35" s="55"/>
      <c r="W35" s="66"/>
    </row>
    <row r="36" spans="16:23" ht="12.75">
      <c r="P36" s="47" t="s">
        <v>48</v>
      </c>
      <c r="Q36" s="47"/>
      <c r="R36" s="54">
        <f>Q40</f>
        <v>0.1</v>
      </c>
      <c r="S36" s="55">
        <f>S40</f>
        <v>-0.22</v>
      </c>
      <c r="W36" s="66"/>
    </row>
    <row r="37" spans="16:23" ht="12.75">
      <c r="P37" s="47" t="s">
        <v>49</v>
      </c>
      <c r="Q37" s="47"/>
      <c r="R37" s="54">
        <f>Q40+Q41</f>
        <v>2.1</v>
      </c>
      <c r="S37" s="55">
        <f>S36</f>
        <v>-0.22</v>
      </c>
      <c r="W37" s="66"/>
    </row>
    <row r="38" spans="16:23" ht="12.75">
      <c r="P38" s="47"/>
      <c r="Q38" s="47"/>
      <c r="R38" s="54"/>
      <c r="S38" s="55"/>
      <c r="W38" s="66"/>
    </row>
    <row r="39" spans="16:23" ht="12.75">
      <c r="P39" s="47"/>
      <c r="Q39" s="47"/>
      <c r="R39" s="54"/>
      <c r="S39" s="55"/>
      <c r="W39" s="66"/>
    </row>
    <row r="40" spans="16:19" ht="12.75">
      <c r="P40" s="47" t="s">
        <v>31</v>
      </c>
      <c r="Q40" s="47">
        <v>0.1</v>
      </c>
      <c r="R40" s="54">
        <f>$Q$40</f>
        <v>0.1</v>
      </c>
      <c r="S40" s="55">
        <f aca="true" t="shared" si="0" ref="S40:S71">$Q$43</f>
        <v>-0.22</v>
      </c>
    </row>
    <row r="41" spans="16:22" ht="12.75">
      <c r="P41" s="46" t="s">
        <v>17</v>
      </c>
      <c r="Q41" s="47">
        <v>2</v>
      </c>
      <c r="R41" s="56">
        <f aca="true" t="shared" si="1" ref="R41:R72">R40+$Q$41/60</f>
        <v>0.13333333333333333</v>
      </c>
      <c r="S41" s="55">
        <f t="shared" si="0"/>
        <v>-0.22</v>
      </c>
      <c r="U41" s="46" t="s">
        <v>66</v>
      </c>
      <c r="V41" s="56">
        <f>$R$37-$U$47-0.04</f>
        <v>1.86</v>
      </c>
    </row>
    <row r="42" spans="17:22" ht="12.75">
      <c r="Q42" s="47"/>
      <c r="R42" s="56">
        <f t="shared" si="1"/>
        <v>0.16666666666666666</v>
      </c>
      <c r="S42" s="55">
        <f t="shared" si="0"/>
        <v>-0.22</v>
      </c>
      <c r="U42" s="55"/>
      <c r="V42" s="57">
        <f>IF(V51=$V$41,U51,IF(V52=$V$41,U52,IF(V53=$V$41,U53,IF(V54=$V$41,U54,IF(V55=$V$41,U55,IF(V56=$V$41,U56,V43))))))</f>
      </c>
    </row>
    <row r="43" spans="16:23" ht="12.75">
      <c r="P43" s="46" t="s">
        <v>28</v>
      </c>
      <c r="Q43" s="47">
        <f>-0.22+Q42/3</f>
        <v>-0.22</v>
      </c>
      <c r="R43" s="56">
        <f t="shared" si="1"/>
        <v>0.19999999999999998</v>
      </c>
      <c r="S43" s="55">
        <f t="shared" si="0"/>
        <v>-0.22</v>
      </c>
      <c r="U43" s="55" t="s">
        <v>67</v>
      </c>
      <c r="V43" s="57">
        <f>IF(V57=$V$41,U57,IF(V58=$V$41,U58,IF(V59=$V$41,U59,IF(V60=$V$41,U60,IF(V61=$V$41,U61,"")))))</f>
      </c>
      <c r="W43" s="69"/>
    </row>
    <row r="44" spans="18:31" ht="12.75">
      <c r="R44" s="56">
        <f t="shared" si="1"/>
        <v>0.2333333333333333</v>
      </c>
      <c r="S44" s="55">
        <f t="shared" si="0"/>
        <v>-0.22</v>
      </c>
      <c r="T44" s="47" t="s">
        <v>54</v>
      </c>
      <c r="U44" s="47">
        <v>0.15</v>
      </c>
      <c r="V44" s="56">
        <f>IF(V30=0,U44,20)</f>
        <v>0.15</v>
      </c>
      <c r="W44" s="68">
        <f>V44+$U$47/4</f>
        <v>0.2</v>
      </c>
      <c r="X44" s="68">
        <f>W44+$U$47/4</f>
        <v>0.25</v>
      </c>
      <c r="Y44" s="68">
        <f>X44+$U$47/4</f>
        <v>0.3</v>
      </c>
      <c r="Z44" s="65">
        <f>Y44+$U$47/4</f>
        <v>0.35</v>
      </c>
      <c r="AA44" s="70">
        <f>$U$48</f>
        <v>-0.205</v>
      </c>
      <c r="AB44" s="70">
        <f>$U$48</f>
        <v>-0.205</v>
      </c>
      <c r="AC44" s="70">
        <f>$U$48</f>
        <v>-0.205</v>
      </c>
      <c r="AD44" s="70">
        <f>$U$48</f>
        <v>-0.205</v>
      </c>
      <c r="AE44" s="70">
        <f>$U$48</f>
        <v>-0.205</v>
      </c>
    </row>
    <row r="45" spans="18:21" ht="12.75">
      <c r="R45" s="56">
        <f t="shared" si="1"/>
        <v>0.26666666666666666</v>
      </c>
      <c r="S45" s="55">
        <f t="shared" si="0"/>
        <v>-0.22</v>
      </c>
      <c r="T45" s="46" t="s">
        <v>10</v>
      </c>
      <c r="U45" s="47">
        <v>0.3</v>
      </c>
    </row>
    <row r="46" spans="18:37" ht="12.75">
      <c r="R46" s="56">
        <f t="shared" si="1"/>
        <v>0.3</v>
      </c>
      <c r="S46" s="55">
        <f t="shared" si="0"/>
        <v>-0.22</v>
      </c>
      <c r="T46" s="47" t="s">
        <v>3</v>
      </c>
      <c r="U46" s="47"/>
      <c r="AJ46" s="38" t="s">
        <v>8</v>
      </c>
      <c r="AK46" s="40">
        <v>0.06</v>
      </c>
    </row>
    <row r="47" spans="18:36" ht="12.75">
      <c r="R47" s="56">
        <f t="shared" si="1"/>
        <v>0.3333333333333333</v>
      </c>
      <c r="S47" s="55">
        <f t="shared" si="0"/>
        <v>-0.22</v>
      </c>
      <c r="T47" s="46" t="s">
        <v>6</v>
      </c>
      <c r="U47" s="58">
        <v>0.2</v>
      </c>
      <c r="AJ47" s="40" t="s">
        <v>18</v>
      </c>
    </row>
    <row r="48" spans="18:37" ht="12.75">
      <c r="R48" s="56">
        <f t="shared" si="1"/>
        <v>0.36666666666666664</v>
      </c>
      <c r="S48" s="55">
        <f t="shared" si="0"/>
        <v>-0.22</v>
      </c>
      <c r="T48" s="46" t="s">
        <v>28</v>
      </c>
      <c r="U48" s="59">
        <v>-0.205</v>
      </c>
      <c r="AJ48" s="38" t="s">
        <v>33</v>
      </c>
      <c r="AK48" s="38">
        <v>0.4</v>
      </c>
    </row>
    <row r="49" spans="18:37" ht="12.75">
      <c r="R49" s="56">
        <f t="shared" si="1"/>
        <v>0.39999999999999997</v>
      </c>
      <c r="S49" s="55">
        <f t="shared" si="0"/>
        <v>-0.22</v>
      </c>
      <c r="T49" s="47" t="s">
        <v>7</v>
      </c>
      <c r="U49" s="47">
        <v>0.03</v>
      </c>
      <c r="AJ49" s="38" t="s">
        <v>23</v>
      </c>
      <c r="AK49" s="38">
        <v>-0.25</v>
      </c>
    </row>
    <row r="50" spans="18:39" ht="12.75">
      <c r="R50" s="56">
        <f t="shared" si="1"/>
        <v>0.4333333333333333</v>
      </c>
      <c r="S50" s="55">
        <f t="shared" si="0"/>
        <v>-0.22</v>
      </c>
      <c r="U50" s="55" t="s">
        <v>55</v>
      </c>
      <c r="V50" s="55" t="s">
        <v>56</v>
      </c>
      <c r="W50" s="67" t="s">
        <v>57</v>
      </c>
      <c r="X50" s="38" t="s">
        <v>58</v>
      </c>
      <c r="Y50" s="38" t="s">
        <v>59</v>
      </c>
      <c r="Z50" s="38" t="s">
        <v>60</v>
      </c>
      <c r="AA50" s="38" t="s">
        <v>61</v>
      </c>
      <c r="AB50" s="38" t="s">
        <v>62</v>
      </c>
      <c r="AC50" s="38" t="s">
        <v>63</v>
      </c>
      <c r="AD50" s="38" t="s">
        <v>64</v>
      </c>
      <c r="AE50" s="38" t="s">
        <v>65</v>
      </c>
      <c r="AF50" s="38" t="s">
        <v>29</v>
      </c>
      <c r="AG50" s="38" t="s">
        <v>30</v>
      </c>
      <c r="AH50" s="38" t="s">
        <v>32</v>
      </c>
      <c r="AI50" s="38" t="s">
        <v>9</v>
      </c>
      <c r="AJ50" s="38" t="s">
        <v>19</v>
      </c>
      <c r="AK50" s="38" t="s">
        <v>20</v>
      </c>
      <c r="AL50" s="38" t="s">
        <v>21</v>
      </c>
      <c r="AM50" s="39" t="s">
        <v>22</v>
      </c>
    </row>
    <row r="51" spans="18:39" ht="12.75">
      <c r="R51" s="56">
        <f t="shared" si="1"/>
        <v>0.4666666666666666</v>
      </c>
      <c r="S51" s="55">
        <f t="shared" si="0"/>
        <v>-0.22</v>
      </c>
      <c r="T51" s="60"/>
      <c r="U51" s="48">
        <v>1</v>
      </c>
      <c r="V51" s="56">
        <f>IF($V$30&lt;=1,$U$45-$U$47/2,$U$45-$U$47/2+(MIN($V$30,U51)-1)*$R$27*$R$28)</f>
        <v>0.19999999999999998</v>
      </c>
      <c r="W51" s="68">
        <f aca="true" t="shared" si="2" ref="W51:Z61">V51+$U$47/4</f>
        <v>0.25</v>
      </c>
      <c r="X51" s="68">
        <f t="shared" si="2"/>
        <v>0.3</v>
      </c>
      <c r="Y51" s="68">
        <f t="shared" si="2"/>
        <v>0.35</v>
      </c>
      <c r="Z51" s="65">
        <f t="shared" si="2"/>
        <v>0.39999999999999997</v>
      </c>
      <c r="AA51" s="70">
        <f>$U$48</f>
        <v>-0.205</v>
      </c>
      <c r="AB51" s="70">
        <f>$U$48</f>
        <v>-0.205</v>
      </c>
      <c r="AC51" s="70">
        <f>$U$48</f>
        <v>-0.205</v>
      </c>
      <c r="AD51" s="70">
        <f>$U$48</f>
        <v>-0.205</v>
      </c>
      <c r="AE51" s="70">
        <f>$U$48</f>
        <v>-0.205</v>
      </c>
      <c r="AF51" s="68">
        <f>Z51</f>
        <v>0.39999999999999997</v>
      </c>
      <c r="AG51" s="68">
        <f>AF51</f>
        <v>0.39999999999999997</v>
      </c>
      <c r="AH51" s="70">
        <f>AA51</f>
        <v>-0.205</v>
      </c>
      <c r="AI51" s="38">
        <f aca="true" t="shared" si="3" ref="AI51:AI61">AA51+$AK$46</f>
        <v>-0.145</v>
      </c>
      <c r="AJ51" s="38">
        <f>Q40+AK48</f>
        <v>0.5</v>
      </c>
      <c r="AK51" s="38">
        <f>AK49</f>
        <v>-0.25</v>
      </c>
      <c r="AL51" s="38">
        <f>Q40+Q41-AK48</f>
        <v>1.7000000000000002</v>
      </c>
      <c r="AM51" s="39">
        <f>AK51</f>
        <v>-0.25</v>
      </c>
    </row>
    <row r="52" spans="18:35" ht="12.75">
      <c r="R52" s="56">
        <f t="shared" si="1"/>
        <v>0.49999999999999994</v>
      </c>
      <c r="S52" s="55">
        <f t="shared" si="0"/>
        <v>-0.22</v>
      </c>
      <c r="T52" s="60"/>
      <c r="U52" s="48">
        <v>2</v>
      </c>
      <c r="V52" s="56">
        <f>IF($V$30&lt;=1,$U$45-$U$47/2,IF($U$45-$U$47/2+(MIN($V$30,U52)-1)*$R$27*$R$28&gt;=$R$37-$U$47-0.04,$R$37-$U$47-0.04,$U$45-$U$47/2+(MIN($V$30,U52)-1)*$R$27*$R$28))</f>
        <v>0.19999999999999998</v>
      </c>
      <c r="W52" s="64">
        <f t="shared" si="2"/>
        <v>0.25</v>
      </c>
      <c r="X52" s="64">
        <f t="shared" si="2"/>
        <v>0.3</v>
      </c>
      <c r="Y52" s="64">
        <f t="shared" si="2"/>
        <v>0.35</v>
      </c>
      <c r="Z52" s="64">
        <f t="shared" si="2"/>
        <v>0.39999999999999997</v>
      </c>
      <c r="AA52" s="64">
        <f aca="true" t="shared" si="4" ref="AA52:AC61">$U$48</f>
        <v>-0.205</v>
      </c>
      <c r="AB52" s="64">
        <f t="shared" si="4"/>
        <v>-0.205</v>
      </c>
      <c r="AC52" s="64">
        <f t="shared" si="4"/>
        <v>-0.205</v>
      </c>
      <c r="AD52" s="64">
        <f aca="true" t="shared" si="5" ref="AD52:AD59">AA52</f>
        <v>-0.205</v>
      </c>
      <c r="AE52" s="64">
        <f aca="true" t="shared" si="6" ref="AE52:AE59">AA52</f>
        <v>-0.205</v>
      </c>
      <c r="AF52" s="64">
        <f aca="true" t="shared" si="7" ref="AF52:AF61">Z52</f>
        <v>0.39999999999999997</v>
      </c>
      <c r="AG52" s="64">
        <f aca="true" t="shared" si="8" ref="AG52:AG61">AF52</f>
        <v>0.39999999999999997</v>
      </c>
      <c r="AH52" s="64">
        <f aca="true" t="shared" si="9" ref="AH52:AH61">AA52</f>
        <v>-0.205</v>
      </c>
      <c r="AI52" s="64">
        <f t="shared" si="3"/>
        <v>-0.145</v>
      </c>
    </row>
    <row r="53" spans="18:36" ht="12.75">
      <c r="R53" s="56">
        <f t="shared" si="1"/>
        <v>0.5333333333333333</v>
      </c>
      <c r="S53" s="55">
        <f t="shared" si="0"/>
        <v>-0.22</v>
      </c>
      <c r="T53" s="60"/>
      <c r="U53" s="48">
        <v>3</v>
      </c>
      <c r="V53" s="56">
        <f aca="true" t="shared" si="10" ref="V53:V61">IF($V$30&lt;=1,$U$45-$U$47/2,IF($U$45-$U$47/2+(MIN($V$30,U53)-1)*$R$27*$R$28&gt;=$R$37-$U$47-0.04,$R$37-$U$47-0.04,$U$45-$U$47/2+(MIN($V$30,U53)-1)*$R$27*$R$28))</f>
        <v>0.19999999999999998</v>
      </c>
      <c r="W53" s="64">
        <f t="shared" si="2"/>
        <v>0.25</v>
      </c>
      <c r="X53" s="64">
        <f t="shared" si="2"/>
        <v>0.3</v>
      </c>
      <c r="Y53" s="64">
        <f t="shared" si="2"/>
        <v>0.35</v>
      </c>
      <c r="Z53" s="64">
        <f t="shared" si="2"/>
        <v>0.39999999999999997</v>
      </c>
      <c r="AA53" s="64">
        <f t="shared" si="4"/>
        <v>-0.205</v>
      </c>
      <c r="AB53" s="64">
        <f t="shared" si="4"/>
        <v>-0.205</v>
      </c>
      <c r="AC53" s="64">
        <f t="shared" si="4"/>
        <v>-0.205</v>
      </c>
      <c r="AD53" s="64">
        <f t="shared" si="5"/>
        <v>-0.205</v>
      </c>
      <c r="AE53" s="64">
        <f t="shared" si="6"/>
        <v>-0.205</v>
      </c>
      <c r="AF53" s="64">
        <f t="shared" si="7"/>
        <v>0.39999999999999997</v>
      </c>
      <c r="AG53" s="64">
        <f t="shared" si="8"/>
        <v>0.39999999999999997</v>
      </c>
      <c r="AH53" s="64">
        <f t="shared" si="9"/>
        <v>-0.205</v>
      </c>
      <c r="AI53" s="64">
        <f t="shared" si="3"/>
        <v>-0.145</v>
      </c>
      <c r="AJ53" s="40" t="s">
        <v>24</v>
      </c>
    </row>
    <row r="54" spans="18:37" ht="12.75">
      <c r="R54" s="56">
        <f t="shared" si="1"/>
        <v>0.5666666666666667</v>
      </c>
      <c r="S54" s="55">
        <f t="shared" si="0"/>
        <v>-0.22</v>
      </c>
      <c r="T54" s="60"/>
      <c r="U54" s="48">
        <v>4</v>
      </c>
      <c r="V54" s="56">
        <f t="shared" si="10"/>
        <v>0.19999999999999998</v>
      </c>
      <c r="W54" s="64">
        <f t="shared" si="2"/>
        <v>0.25</v>
      </c>
      <c r="X54" s="64">
        <f t="shared" si="2"/>
        <v>0.3</v>
      </c>
      <c r="Y54" s="64">
        <f t="shared" si="2"/>
        <v>0.35</v>
      </c>
      <c r="Z54" s="64">
        <f t="shared" si="2"/>
        <v>0.39999999999999997</v>
      </c>
      <c r="AA54" s="64">
        <f t="shared" si="4"/>
        <v>-0.205</v>
      </c>
      <c r="AB54" s="64">
        <f t="shared" si="4"/>
        <v>-0.205</v>
      </c>
      <c r="AC54" s="64">
        <f t="shared" si="4"/>
        <v>-0.205</v>
      </c>
      <c r="AD54" s="64">
        <f t="shared" si="5"/>
        <v>-0.205</v>
      </c>
      <c r="AE54" s="64">
        <f t="shared" si="6"/>
        <v>-0.205</v>
      </c>
      <c r="AF54" s="64">
        <f t="shared" si="7"/>
        <v>0.39999999999999997</v>
      </c>
      <c r="AG54" s="64">
        <f t="shared" si="8"/>
        <v>0.39999999999999997</v>
      </c>
      <c r="AH54" s="64">
        <f t="shared" si="9"/>
        <v>-0.205</v>
      </c>
      <c r="AI54" s="64">
        <f t="shared" si="3"/>
        <v>-0.145</v>
      </c>
      <c r="AJ54" s="38" t="s">
        <v>25</v>
      </c>
      <c r="AK54" s="40">
        <v>-0.275</v>
      </c>
    </row>
    <row r="55" spans="18:37" ht="12.75">
      <c r="R55" s="56">
        <f t="shared" si="1"/>
        <v>0.6</v>
      </c>
      <c r="S55" s="55">
        <f t="shared" si="0"/>
        <v>-0.22</v>
      </c>
      <c r="T55" s="60"/>
      <c r="U55" s="48">
        <v>5</v>
      </c>
      <c r="V55" s="56">
        <f t="shared" si="10"/>
        <v>0.19999999999999998</v>
      </c>
      <c r="W55" s="64">
        <f t="shared" si="2"/>
        <v>0.25</v>
      </c>
      <c r="X55" s="64">
        <f t="shared" si="2"/>
        <v>0.3</v>
      </c>
      <c r="Y55" s="64">
        <f t="shared" si="2"/>
        <v>0.35</v>
      </c>
      <c r="Z55" s="64">
        <f t="shared" si="2"/>
        <v>0.39999999999999997</v>
      </c>
      <c r="AA55" s="64">
        <f t="shared" si="4"/>
        <v>-0.205</v>
      </c>
      <c r="AB55" s="64">
        <f t="shared" si="4"/>
        <v>-0.205</v>
      </c>
      <c r="AC55" s="64">
        <f t="shared" si="4"/>
        <v>-0.205</v>
      </c>
      <c r="AD55" s="64">
        <f t="shared" si="5"/>
        <v>-0.205</v>
      </c>
      <c r="AE55" s="64">
        <f t="shared" si="6"/>
        <v>-0.205</v>
      </c>
      <c r="AF55" s="64">
        <f t="shared" si="7"/>
        <v>0.39999999999999997</v>
      </c>
      <c r="AG55" s="64">
        <f t="shared" si="8"/>
        <v>0.39999999999999997</v>
      </c>
      <c r="AH55" s="64">
        <f t="shared" si="9"/>
        <v>-0.205</v>
      </c>
      <c r="AI55" s="64">
        <f t="shared" si="3"/>
        <v>-0.145</v>
      </c>
      <c r="AJ55" s="38" t="s">
        <v>1</v>
      </c>
      <c r="AK55" s="38" t="s">
        <v>2</v>
      </c>
    </row>
    <row r="56" spans="18:37" ht="12.75">
      <c r="R56" s="56">
        <f t="shared" si="1"/>
        <v>0.6333333333333333</v>
      </c>
      <c r="S56" s="55">
        <f t="shared" si="0"/>
        <v>-0.22</v>
      </c>
      <c r="T56" s="60"/>
      <c r="U56" s="48">
        <v>6</v>
      </c>
      <c r="V56" s="56">
        <f t="shared" si="10"/>
        <v>0.19999999999999998</v>
      </c>
      <c r="W56" s="64">
        <f t="shared" si="2"/>
        <v>0.25</v>
      </c>
      <c r="X56" s="64">
        <f t="shared" si="2"/>
        <v>0.3</v>
      </c>
      <c r="Y56" s="64">
        <f t="shared" si="2"/>
        <v>0.35</v>
      </c>
      <c r="Z56" s="64">
        <f t="shared" si="2"/>
        <v>0.39999999999999997</v>
      </c>
      <c r="AA56" s="64">
        <f t="shared" si="4"/>
        <v>-0.205</v>
      </c>
      <c r="AB56" s="64">
        <f t="shared" si="4"/>
        <v>-0.205</v>
      </c>
      <c r="AC56" s="64">
        <f t="shared" si="4"/>
        <v>-0.205</v>
      </c>
      <c r="AD56" s="64">
        <f t="shared" si="5"/>
        <v>-0.205</v>
      </c>
      <c r="AE56" s="64">
        <f t="shared" si="6"/>
        <v>-0.205</v>
      </c>
      <c r="AF56" s="64">
        <f t="shared" si="7"/>
        <v>0.39999999999999997</v>
      </c>
      <c r="AG56" s="64">
        <f t="shared" si="8"/>
        <v>0.39999999999999997</v>
      </c>
      <c r="AH56" s="64">
        <f t="shared" si="9"/>
        <v>-0.205</v>
      </c>
      <c r="AI56" s="64">
        <f t="shared" si="3"/>
        <v>-0.145</v>
      </c>
      <c r="AJ56" s="38">
        <v>-0.1</v>
      </c>
      <c r="AK56" s="38">
        <f>AK54</f>
        <v>-0.275</v>
      </c>
    </row>
    <row r="57" spans="18:37" ht="12.75">
      <c r="R57" s="56">
        <f t="shared" si="1"/>
        <v>0.6666666666666666</v>
      </c>
      <c r="S57" s="55">
        <f t="shared" si="0"/>
        <v>-0.22</v>
      </c>
      <c r="T57" s="60"/>
      <c r="U57" s="48">
        <v>7</v>
      </c>
      <c r="V57" s="56">
        <f t="shared" si="10"/>
        <v>0.19999999999999998</v>
      </c>
      <c r="W57" s="64">
        <f t="shared" si="2"/>
        <v>0.25</v>
      </c>
      <c r="X57" s="64">
        <f t="shared" si="2"/>
        <v>0.3</v>
      </c>
      <c r="Y57" s="64">
        <f t="shared" si="2"/>
        <v>0.35</v>
      </c>
      <c r="Z57" s="64">
        <f t="shared" si="2"/>
        <v>0.39999999999999997</v>
      </c>
      <c r="AA57" s="64">
        <f t="shared" si="4"/>
        <v>-0.205</v>
      </c>
      <c r="AB57" s="64">
        <f t="shared" si="4"/>
        <v>-0.205</v>
      </c>
      <c r="AC57" s="64">
        <f t="shared" si="4"/>
        <v>-0.205</v>
      </c>
      <c r="AD57" s="64">
        <f t="shared" si="5"/>
        <v>-0.205</v>
      </c>
      <c r="AE57" s="64">
        <f t="shared" si="6"/>
        <v>-0.205</v>
      </c>
      <c r="AF57" s="64">
        <f t="shared" si="7"/>
        <v>0.39999999999999997</v>
      </c>
      <c r="AG57" s="64">
        <f t="shared" si="8"/>
        <v>0.39999999999999997</v>
      </c>
      <c r="AH57" s="64">
        <f t="shared" si="9"/>
        <v>-0.205</v>
      </c>
      <c r="AI57" s="64">
        <f t="shared" si="3"/>
        <v>-0.145</v>
      </c>
      <c r="AJ57" s="68">
        <f>Q40+Q41+0.05</f>
        <v>2.15</v>
      </c>
      <c r="AK57" s="38">
        <f>AK56</f>
        <v>-0.275</v>
      </c>
    </row>
    <row r="58" spans="18:35" ht="12.75">
      <c r="R58" s="56">
        <f t="shared" si="1"/>
        <v>0.7</v>
      </c>
      <c r="S58" s="55">
        <f t="shared" si="0"/>
        <v>-0.22</v>
      </c>
      <c r="T58" s="60"/>
      <c r="U58" s="48">
        <v>8</v>
      </c>
      <c r="V58" s="56">
        <f t="shared" si="10"/>
        <v>0.19999999999999998</v>
      </c>
      <c r="W58" s="64">
        <f t="shared" si="2"/>
        <v>0.25</v>
      </c>
      <c r="X58" s="64">
        <f t="shared" si="2"/>
        <v>0.3</v>
      </c>
      <c r="Y58" s="64">
        <f t="shared" si="2"/>
        <v>0.35</v>
      </c>
      <c r="Z58" s="64">
        <f t="shared" si="2"/>
        <v>0.39999999999999997</v>
      </c>
      <c r="AA58" s="64">
        <f t="shared" si="4"/>
        <v>-0.205</v>
      </c>
      <c r="AB58" s="64">
        <f t="shared" si="4"/>
        <v>-0.205</v>
      </c>
      <c r="AC58" s="64">
        <f t="shared" si="4"/>
        <v>-0.205</v>
      </c>
      <c r="AD58" s="64">
        <f t="shared" si="5"/>
        <v>-0.205</v>
      </c>
      <c r="AE58" s="64">
        <f t="shared" si="6"/>
        <v>-0.205</v>
      </c>
      <c r="AF58" s="64">
        <f t="shared" si="7"/>
        <v>0.39999999999999997</v>
      </c>
      <c r="AG58" s="64">
        <f t="shared" si="8"/>
        <v>0.39999999999999997</v>
      </c>
      <c r="AH58" s="64">
        <f t="shared" si="9"/>
        <v>-0.205</v>
      </c>
      <c r="AI58" s="64">
        <f t="shared" si="3"/>
        <v>-0.145</v>
      </c>
    </row>
    <row r="59" spans="18:35" ht="12.75">
      <c r="R59" s="56">
        <f t="shared" si="1"/>
        <v>0.7333333333333333</v>
      </c>
      <c r="S59" s="55">
        <f t="shared" si="0"/>
        <v>-0.22</v>
      </c>
      <c r="T59" s="60"/>
      <c r="U59" s="48">
        <v>9</v>
      </c>
      <c r="V59" s="56">
        <f t="shared" si="10"/>
        <v>0.19999999999999998</v>
      </c>
      <c r="W59" s="64">
        <f t="shared" si="2"/>
        <v>0.25</v>
      </c>
      <c r="X59" s="64">
        <f t="shared" si="2"/>
        <v>0.3</v>
      </c>
      <c r="Y59" s="64">
        <f t="shared" si="2"/>
        <v>0.35</v>
      </c>
      <c r="Z59" s="64">
        <f t="shared" si="2"/>
        <v>0.39999999999999997</v>
      </c>
      <c r="AA59" s="64">
        <f t="shared" si="4"/>
        <v>-0.205</v>
      </c>
      <c r="AB59" s="64">
        <f t="shared" si="4"/>
        <v>-0.205</v>
      </c>
      <c r="AC59" s="64">
        <f t="shared" si="4"/>
        <v>-0.205</v>
      </c>
      <c r="AD59" s="64">
        <f t="shared" si="5"/>
        <v>-0.205</v>
      </c>
      <c r="AE59" s="64">
        <f t="shared" si="6"/>
        <v>-0.205</v>
      </c>
      <c r="AF59" s="64">
        <f t="shared" si="7"/>
        <v>0.39999999999999997</v>
      </c>
      <c r="AG59" s="64">
        <f t="shared" si="8"/>
        <v>0.39999999999999997</v>
      </c>
      <c r="AH59" s="64">
        <f t="shared" si="9"/>
        <v>-0.205</v>
      </c>
      <c r="AI59" s="64">
        <f t="shared" si="3"/>
        <v>-0.145</v>
      </c>
    </row>
    <row r="60" spans="18:35" ht="12.75">
      <c r="R60" s="56">
        <f t="shared" si="1"/>
        <v>0.7666666666666666</v>
      </c>
      <c r="S60" s="55">
        <f t="shared" si="0"/>
        <v>-0.22</v>
      </c>
      <c r="T60" s="60"/>
      <c r="U60" s="48">
        <v>10</v>
      </c>
      <c r="V60" s="56">
        <f t="shared" si="10"/>
        <v>0.19999999999999998</v>
      </c>
      <c r="W60" s="64">
        <f t="shared" si="2"/>
        <v>0.25</v>
      </c>
      <c r="X60" s="64">
        <f t="shared" si="2"/>
        <v>0.3</v>
      </c>
      <c r="Y60" s="64">
        <f t="shared" si="2"/>
        <v>0.35</v>
      </c>
      <c r="Z60" s="64">
        <f t="shared" si="2"/>
        <v>0.39999999999999997</v>
      </c>
      <c r="AA60" s="64">
        <f t="shared" si="4"/>
        <v>-0.205</v>
      </c>
      <c r="AB60" s="64">
        <f t="shared" si="4"/>
        <v>-0.205</v>
      </c>
      <c r="AC60" s="64">
        <f t="shared" si="4"/>
        <v>-0.205</v>
      </c>
      <c r="AD60" s="64">
        <f>AA60</f>
        <v>-0.205</v>
      </c>
      <c r="AE60" s="64">
        <f>AA60</f>
        <v>-0.205</v>
      </c>
      <c r="AF60" s="64">
        <f t="shared" si="7"/>
        <v>0.39999999999999997</v>
      </c>
      <c r="AG60" s="64">
        <f t="shared" si="8"/>
        <v>0.39999999999999997</v>
      </c>
      <c r="AH60" s="64">
        <f t="shared" si="9"/>
        <v>-0.205</v>
      </c>
      <c r="AI60" s="64">
        <f t="shared" si="3"/>
        <v>-0.145</v>
      </c>
    </row>
    <row r="61" spans="18:35" ht="12.75">
      <c r="R61" s="56">
        <f t="shared" si="1"/>
        <v>0.7999999999999999</v>
      </c>
      <c r="S61" s="55">
        <f t="shared" si="0"/>
        <v>-0.22</v>
      </c>
      <c r="T61" s="60"/>
      <c r="U61" s="48">
        <v>11</v>
      </c>
      <c r="V61" s="56">
        <f t="shared" si="10"/>
        <v>0.19999999999999998</v>
      </c>
      <c r="W61" s="64">
        <f t="shared" si="2"/>
        <v>0.25</v>
      </c>
      <c r="X61" s="64">
        <f t="shared" si="2"/>
        <v>0.3</v>
      </c>
      <c r="Y61" s="64">
        <f t="shared" si="2"/>
        <v>0.35</v>
      </c>
      <c r="Z61" s="64">
        <f t="shared" si="2"/>
        <v>0.39999999999999997</v>
      </c>
      <c r="AA61" s="64">
        <f t="shared" si="4"/>
        <v>-0.205</v>
      </c>
      <c r="AB61" s="64">
        <f t="shared" si="4"/>
        <v>-0.205</v>
      </c>
      <c r="AC61" s="64">
        <f t="shared" si="4"/>
        <v>-0.205</v>
      </c>
      <c r="AD61" s="64">
        <f>AA61</f>
        <v>-0.205</v>
      </c>
      <c r="AE61" s="64">
        <f>AA61</f>
        <v>-0.205</v>
      </c>
      <c r="AF61" s="64">
        <f t="shared" si="7"/>
        <v>0.39999999999999997</v>
      </c>
      <c r="AG61" s="64">
        <f t="shared" si="8"/>
        <v>0.39999999999999997</v>
      </c>
      <c r="AH61" s="64">
        <f t="shared" si="9"/>
        <v>-0.205</v>
      </c>
      <c r="AI61" s="64">
        <f t="shared" si="3"/>
        <v>-0.145</v>
      </c>
    </row>
    <row r="62" spans="18:27" ht="12.75">
      <c r="R62" s="56">
        <f t="shared" si="1"/>
        <v>0.8333333333333333</v>
      </c>
      <c r="S62" s="55">
        <f t="shared" si="0"/>
        <v>-0.22</v>
      </c>
      <c r="V62" s="49"/>
      <c r="W62" s="68"/>
      <c r="X62" s="68"/>
      <c r="AA62" s="65"/>
    </row>
    <row r="63" spans="18:27" ht="12.75">
      <c r="R63" s="56">
        <f t="shared" si="1"/>
        <v>0.8666666666666666</v>
      </c>
      <c r="S63" s="55">
        <f t="shared" si="0"/>
        <v>-0.22</v>
      </c>
      <c r="V63" s="49"/>
      <c r="W63" s="68"/>
      <c r="X63" s="68"/>
      <c r="AA63" s="65"/>
    </row>
    <row r="64" spans="18:27" ht="12.75">
      <c r="R64" s="56">
        <f t="shared" si="1"/>
        <v>0.8999999999999999</v>
      </c>
      <c r="S64" s="55">
        <f t="shared" si="0"/>
        <v>-0.22</v>
      </c>
      <c r="V64" s="49"/>
      <c r="W64" s="68"/>
      <c r="X64" s="68"/>
      <c r="AA64" s="65"/>
    </row>
    <row r="65" spans="18:27" ht="12.75">
      <c r="R65" s="56">
        <f t="shared" si="1"/>
        <v>0.9333333333333332</v>
      </c>
      <c r="S65" s="55">
        <f t="shared" si="0"/>
        <v>-0.22</v>
      </c>
      <c r="V65" s="49"/>
      <c r="W65" s="68"/>
      <c r="X65" s="68"/>
      <c r="AA65" s="65"/>
    </row>
    <row r="66" spans="18:27" ht="12.75">
      <c r="R66" s="56">
        <f t="shared" si="1"/>
        <v>0.9666666666666666</v>
      </c>
      <c r="S66" s="55">
        <f t="shared" si="0"/>
        <v>-0.22</v>
      </c>
      <c r="V66" s="49"/>
      <c r="W66" s="68"/>
      <c r="X66" s="68"/>
      <c r="AA66" s="65"/>
    </row>
    <row r="67" spans="18:27" ht="12.75">
      <c r="R67" s="56">
        <f t="shared" si="1"/>
        <v>0.9999999999999999</v>
      </c>
      <c r="S67" s="55">
        <f t="shared" si="0"/>
        <v>-0.22</v>
      </c>
      <c r="V67" s="49"/>
      <c r="W67" s="68"/>
      <c r="X67" s="68"/>
      <c r="AA67" s="65"/>
    </row>
    <row r="68" spans="18:27" ht="12.75">
      <c r="R68" s="56">
        <f t="shared" si="1"/>
        <v>1.0333333333333332</v>
      </c>
      <c r="S68" s="55">
        <f t="shared" si="0"/>
        <v>-0.22</v>
      </c>
      <c r="V68" s="49"/>
      <c r="W68" s="68"/>
      <c r="X68" s="68"/>
      <c r="AA68" s="65"/>
    </row>
    <row r="69" spans="18:27" ht="12.75">
      <c r="R69" s="56">
        <f t="shared" si="1"/>
        <v>1.0666666666666667</v>
      </c>
      <c r="S69" s="55">
        <f t="shared" si="0"/>
        <v>-0.22</v>
      </c>
      <c r="V69" s="49"/>
      <c r="W69" s="68"/>
      <c r="X69" s="68"/>
      <c r="AA69" s="65"/>
    </row>
    <row r="70" spans="18:27" ht="12.75">
      <c r="R70" s="56">
        <f t="shared" si="1"/>
        <v>1.1</v>
      </c>
      <c r="S70" s="55">
        <f t="shared" si="0"/>
        <v>-0.22</v>
      </c>
      <c r="V70" s="49"/>
      <c r="W70" s="68"/>
      <c r="X70" s="68"/>
      <c r="AA70" s="65"/>
    </row>
    <row r="71" spans="18:19" ht="12.75">
      <c r="R71" s="56">
        <f t="shared" si="1"/>
        <v>1.1333333333333335</v>
      </c>
      <c r="S71" s="55">
        <f t="shared" si="0"/>
        <v>-0.22</v>
      </c>
    </row>
    <row r="72" spans="18:19" ht="12.75">
      <c r="R72" s="56">
        <f t="shared" si="1"/>
        <v>1.166666666666667</v>
      </c>
      <c r="S72" s="55">
        <f aca="true" t="shared" si="11" ref="S72:S100">$Q$43</f>
        <v>-0.22</v>
      </c>
    </row>
    <row r="73" spans="18:19" ht="12.75">
      <c r="R73" s="56">
        <f aca="true" t="shared" si="12" ref="R73:R100">R72+$Q$41/60</f>
        <v>1.2000000000000004</v>
      </c>
      <c r="S73" s="55">
        <f t="shared" si="11"/>
        <v>-0.22</v>
      </c>
    </row>
    <row r="74" spans="18:19" ht="12.75">
      <c r="R74" s="56">
        <f t="shared" si="12"/>
        <v>1.2333333333333338</v>
      </c>
      <c r="S74" s="55">
        <f t="shared" si="11"/>
        <v>-0.22</v>
      </c>
    </row>
    <row r="75" spans="18:19" ht="12.75">
      <c r="R75" s="56">
        <f t="shared" si="12"/>
        <v>1.2666666666666673</v>
      </c>
      <c r="S75" s="55">
        <f t="shared" si="11"/>
        <v>-0.22</v>
      </c>
    </row>
    <row r="76" spans="18:19" ht="12.75">
      <c r="R76" s="56">
        <f t="shared" si="12"/>
        <v>1.3000000000000007</v>
      </c>
      <c r="S76" s="55">
        <f t="shared" si="11"/>
        <v>-0.22</v>
      </c>
    </row>
    <row r="77" spans="18:19" ht="12.75">
      <c r="R77" s="56">
        <f t="shared" si="12"/>
        <v>1.3333333333333341</v>
      </c>
      <c r="S77" s="55">
        <f t="shared" si="11"/>
        <v>-0.22</v>
      </c>
    </row>
    <row r="78" spans="18:19" ht="12.75">
      <c r="R78" s="56">
        <f t="shared" si="12"/>
        <v>1.3666666666666676</v>
      </c>
      <c r="S78" s="55">
        <f t="shared" si="11"/>
        <v>-0.22</v>
      </c>
    </row>
    <row r="79" spans="18:19" ht="12.75">
      <c r="R79" s="56">
        <f t="shared" si="12"/>
        <v>1.400000000000001</v>
      </c>
      <c r="S79" s="55">
        <f t="shared" si="11"/>
        <v>-0.22</v>
      </c>
    </row>
    <row r="80" spans="18:19" ht="12.75">
      <c r="R80" s="56">
        <f t="shared" si="12"/>
        <v>1.4333333333333345</v>
      </c>
      <c r="S80" s="55">
        <f t="shared" si="11"/>
        <v>-0.22</v>
      </c>
    </row>
    <row r="81" spans="18:19" ht="12.75">
      <c r="R81" s="56">
        <f t="shared" si="12"/>
        <v>1.466666666666668</v>
      </c>
      <c r="S81" s="55">
        <f t="shared" si="11"/>
        <v>-0.22</v>
      </c>
    </row>
    <row r="82" spans="18:19" ht="12.75">
      <c r="R82" s="56">
        <f t="shared" si="12"/>
        <v>1.5000000000000013</v>
      </c>
      <c r="S82" s="55">
        <f t="shared" si="11"/>
        <v>-0.22</v>
      </c>
    </row>
    <row r="83" spans="18:19" ht="12.75">
      <c r="R83" s="56">
        <f t="shared" si="12"/>
        <v>1.5333333333333348</v>
      </c>
      <c r="S83" s="55">
        <f t="shared" si="11"/>
        <v>-0.22</v>
      </c>
    </row>
    <row r="84" spans="18:19" ht="12.75">
      <c r="R84" s="56">
        <f t="shared" si="12"/>
        <v>1.5666666666666682</v>
      </c>
      <c r="S84" s="55">
        <f t="shared" si="11"/>
        <v>-0.22</v>
      </c>
    </row>
    <row r="85" spans="18:19" ht="12.75">
      <c r="R85" s="56">
        <f t="shared" si="12"/>
        <v>1.6000000000000016</v>
      </c>
      <c r="S85" s="55">
        <f t="shared" si="11"/>
        <v>-0.22</v>
      </c>
    </row>
    <row r="86" spans="18:19" ht="12.75">
      <c r="R86" s="56">
        <f t="shared" si="12"/>
        <v>1.633333333333335</v>
      </c>
      <c r="S86" s="55">
        <f t="shared" si="11"/>
        <v>-0.22</v>
      </c>
    </row>
    <row r="87" spans="18:19" ht="12.75">
      <c r="R87" s="56">
        <f t="shared" si="12"/>
        <v>1.6666666666666685</v>
      </c>
      <c r="S87" s="55">
        <f t="shared" si="11"/>
        <v>-0.22</v>
      </c>
    </row>
    <row r="88" spans="18:19" ht="12.75">
      <c r="R88" s="56">
        <f t="shared" si="12"/>
        <v>1.700000000000002</v>
      </c>
      <c r="S88" s="55">
        <f t="shared" si="11"/>
        <v>-0.22</v>
      </c>
    </row>
    <row r="89" spans="18:19" ht="12.75">
      <c r="R89" s="56">
        <f t="shared" si="12"/>
        <v>1.7333333333333354</v>
      </c>
      <c r="S89" s="55">
        <f t="shared" si="11"/>
        <v>-0.22</v>
      </c>
    </row>
    <row r="90" spans="18:19" ht="12.75">
      <c r="R90" s="56">
        <f t="shared" si="12"/>
        <v>1.7666666666666688</v>
      </c>
      <c r="S90" s="55">
        <f t="shared" si="11"/>
        <v>-0.22</v>
      </c>
    </row>
    <row r="91" spans="18:19" ht="12.75">
      <c r="R91" s="56">
        <f t="shared" si="12"/>
        <v>1.8000000000000023</v>
      </c>
      <c r="S91" s="55">
        <f t="shared" si="11"/>
        <v>-0.22</v>
      </c>
    </row>
    <row r="92" spans="18:19" ht="12.75">
      <c r="R92" s="56">
        <f t="shared" si="12"/>
        <v>1.8333333333333357</v>
      </c>
      <c r="S92" s="55">
        <f t="shared" si="11"/>
        <v>-0.22</v>
      </c>
    </row>
    <row r="93" spans="18:19" ht="12.75">
      <c r="R93" s="56">
        <f t="shared" si="12"/>
        <v>1.8666666666666691</v>
      </c>
      <c r="S93" s="55">
        <f t="shared" si="11"/>
        <v>-0.22</v>
      </c>
    </row>
    <row r="94" spans="18:19" ht="12.75">
      <c r="R94" s="56">
        <f t="shared" si="12"/>
        <v>1.9000000000000026</v>
      </c>
      <c r="S94" s="55">
        <f t="shared" si="11"/>
        <v>-0.22</v>
      </c>
    </row>
    <row r="95" spans="18:19" ht="12.75">
      <c r="R95" s="56">
        <f t="shared" si="12"/>
        <v>1.933333333333336</v>
      </c>
      <c r="S95" s="55">
        <f t="shared" si="11"/>
        <v>-0.22</v>
      </c>
    </row>
    <row r="96" spans="18:19" ht="12.75">
      <c r="R96" s="56">
        <f t="shared" si="12"/>
        <v>1.9666666666666694</v>
      </c>
      <c r="S96" s="55">
        <f t="shared" si="11"/>
        <v>-0.22</v>
      </c>
    </row>
    <row r="97" spans="18:19" ht="12.75">
      <c r="R97" s="56">
        <f t="shared" si="12"/>
        <v>2.0000000000000027</v>
      </c>
      <c r="S97" s="55">
        <f t="shared" si="11"/>
        <v>-0.22</v>
      </c>
    </row>
    <row r="98" spans="18:19" ht="12.75">
      <c r="R98" s="56">
        <f t="shared" si="12"/>
        <v>2.033333333333336</v>
      </c>
      <c r="S98" s="55">
        <f t="shared" si="11"/>
        <v>-0.22</v>
      </c>
    </row>
    <row r="99" spans="18:19" ht="12.75">
      <c r="R99" s="56">
        <f t="shared" si="12"/>
        <v>2.066666666666669</v>
      </c>
      <c r="S99" s="55">
        <f t="shared" si="11"/>
        <v>-0.22</v>
      </c>
    </row>
    <row r="100" spans="18:19" ht="12.75">
      <c r="R100" s="56">
        <f t="shared" si="12"/>
        <v>2.1000000000000023</v>
      </c>
      <c r="S100" s="55">
        <f t="shared" si="11"/>
        <v>-0.22</v>
      </c>
    </row>
    <row r="101" spans="18:19" ht="12.75">
      <c r="R101" s="56"/>
      <c r="S101" s="55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Wavegeluid" shapeId="35948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2:AN185"/>
  <sheetViews>
    <sheetView showGridLines="0" showRowColHeaders="0" showOutlineSymbols="0" workbookViewId="0" topLeftCell="A1">
      <pane xSplit="24" topLeftCell="Y1" activePane="topRight" state="frozen"/>
      <selection pane="topLeft" activeCell="A1" sqref="A1"/>
      <selection pane="topRight" activeCell="Y1" sqref="Y1:Y16384"/>
    </sheetView>
  </sheetViews>
  <sheetFormatPr defaultColWidth="9.140625" defaultRowHeight="12.75"/>
  <cols>
    <col min="1" max="2" width="9.140625" style="1" customWidth="1"/>
    <col min="3" max="3" width="9.28125" style="1" bestFit="1" customWidth="1"/>
    <col min="4" max="4" width="10.421875" style="1" bestFit="1" customWidth="1"/>
    <col min="5" max="13" width="9.140625" style="1" customWidth="1"/>
    <col min="14" max="14" width="9.7109375" style="1" bestFit="1" customWidth="1"/>
    <col min="15" max="18" width="9.140625" style="1" customWidth="1"/>
    <col min="19" max="19" width="11.28125" style="1" bestFit="1" customWidth="1"/>
    <col min="20" max="25" width="9.140625" style="1" customWidth="1"/>
    <col min="26" max="28" width="9.28125" style="1" bestFit="1" customWidth="1"/>
    <col min="29" max="29" width="12.140625" style="1" bestFit="1" customWidth="1"/>
    <col min="30" max="31" width="12.7109375" style="1" bestFit="1" customWidth="1"/>
    <col min="32" max="32" width="13.8515625" style="1" bestFit="1" customWidth="1"/>
    <col min="33" max="34" width="13.8515625" style="1" customWidth="1"/>
    <col min="35" max="35" width="12.7109375" style="1" bestFit="1" customWidth="1"/>
    <col min="36" max="36" width="12.140625" style="1" bestFit="1" customWidth="1"/>
    <col min="37" max="40" width="9.28125" style="1" bestFit="1" customWidth="1"/>
    <col min="41" max="16384" width="9.140625" style="1" customWidth="1"/>
  </cols>
  <sheetData>
    <row r="2" ht="26.25">
      <c r="B2" s="7" t="s">
        <v>69</v>
      </c>
    </row>
    <row r="4" ht="12.75">
      <c r="B4" s="32" t="s">
        <v>70</v>
      </c>
    </row>
    <row r="5" ht="3" customHeight="1">
      <c r="B5" s="8"/>
    </row>
    <row r="6" ht="12.75">
      <c r="B6" s="8" t="s">
        <v>71</v>
      </c>
    </row>
    <row r="7" ht="12.75">
      <c r="B7" s="33" t="s">
        <v>73</v>
      </c>
    </row>
    <row r="8" ht="12.75">
      <c r="B8" s="33" t="s">
        <v>72</v>
      </c>
    </row>
    <row r="9" ht="12.75">
      <c r="B9" s="8"/>
    </row>
    <row r="10" spans="2:11" ht="12.75">
      <c r="B10" s="14" t="s">
        <v>79</v>
      </c>
      <c r="C10" s="6"/>
      <c r="D10" s="6"/>
      <c r="E10" s="6"/>
      <c r="F10" s="6"/>
      <c r="G10" s="6"/>
      <c r="I10" s="6"/>
      <c r="J10" s="6"/>
      <c r="K10" s="6"/>
    </row>
    <row r="11" ht="12.75">
      <c r="B11" s="8"/>
    </row>
    <row r="12" spans="2:5" ht="12.75">
      <c r="B12" s="8"/>
      <c r="E12" s="32" t="s">
        <v>84</v>
      </c>
    </row>
    <row r="13" ht="12.75">
      <c r="B13" s="8"/>
    </row>
    <row r="14" ht="12.75">
      <c r="B14" s="34" t="s">
        <v>74</v>
      </c>
    </row>
    <row r="15" ht="12.75">
      <c r="B15" s="8"/>
    </row>
    <row r="16" spans="2:5" ht="12.75">
      <c r="B16" s="8"/>
      <c r="E16" s="32" t="s">
        <v>83</v>
      </c>
    </row>
    <row r="17" ht="12.75">
      <c r="B17" s="8"/>
    </row>
    <row r="18" ht="12.75">
      <c r="B18" s="8"/>
    </row>
    <row r="19" ht="12.75">
      <c r="B19" s="8" t="s">
        <v>75</v>
      </c>
    </row>
    <row r="20" ht="12.75">
      <c r="B20" s="8"/>
    </row>
    <row r="21" ht="12.75">
      <c r="B21" s="8"/>
    </row>
    <row r="22" spans="2:5" ht="12.75">
      <c r="B22" s="8"/>
      <c r="E22" s="32" t="s">
        <v>85</v>
      </c>
    </row>
    <row r="23" ht="12.75">
      <c r="B23" s="8"/>
    </row>
    <row r="24" ht="12.75">
      <c r="B24" s="8"/>
    </row>
    <row r="25" ht="12.75">
      <c r="B25" s="8"/>
    </row>
    <row r="26" ht="12.75">
      <c r="B26" s="8" t="s">
        <v>76</v>
      </c>
    </row>
    <row r="27" ht="12.75">
      <c r="B27" s="8" t="s">
        <v>80</v>
      </c>
    </row>
    <row r="28" ht="12.75">
      <c r="B28" s="8"/>
    </row>
    <row r="29" ht="12.75">
      <c r="B29" s="8"/>
    </row>
    <row r="30" ht="15.75">
      <c r="B30" s="8" t="s">
        <v>78</v>
      </c>
    </row>
    <row r="31" ht="12.75">
      <c r="B31" s="8" t="s">
        <v>77</v>
      </c>
    </row>
    <row r="32" ht="14.25">
      <c r="B32" s="8" t="s">
        <v>81</v>
      </c>
    </row>
    <row r="33" ht="14.25">
      <c r="B33" s="8" t="s">
        <v>82</v>
      </c>
    </row>
    <row r="34" ht="12.75">
      <c r="B34" s="8"/>
    </row>
    <row r="35" ht="12.75">
      <c r="B35" s="8"/>
    </row>
    <row r="36" spans="2:4" ht="12.75">
      <c r="B36" s="8"/>
      <c r="D36" s="35" t="s">
        <v>92</v>
      </c>
    </row>
    <row r="37" spans="2:10" ht="12.75">
      <c r="B37" s="8"/>
      <c r="E37" s="6"/>
      <c r="F37" s="6"/>
      <c r="G37" s="6"/>
      <c r="H37" s="6"/>
      <c r="I37" s="6"/>
      <c r="J37" s="6"/>
    </row>
    <row r="38" spans="2:10" ht="12.75">
      <c r="B38" s="8"/>
      <c r="E38" s="6"/>
      <c r="F38" s="6"/>
      <c r="G38" s="6"/>
      <c r="H38" s="6"/>
      <c r="I38" s="6"/>
      <c r="J38" s="6"/>
    </row>
    <row r="39" spans="2:10" ht="12.75">
      <c r="B39" s="8" t="s">
        <v>93</v>
      </c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5:10" ht="12.75">
      <c r="E41" s="6"/>
      <c r="F41" s="6"/>
      <c r="G41" s="6"/>
      <c r="H41" s="6"/>
      <c r="I41" s="6"/>
      <c r="J41" s="6"/>
    </row>
    <row r="42" spans="5:10" ht="12.75">
      <c r="E42" s="6"/>
      <c r="F42" s="6"/>
      <c r="G42" s="6"/>
      <c r="H42" s="6"/>
      <c r="I42" s="6"/>
      <c r="J42" s="6"/>
    </row>
    <row r="43" ht="15.75">
      <c r="B43" s="8" t="s">
        <v>86</v>
      </c>
    </row>
    <row r="44" ht="12.75"/>
    <row r="45" ht="12.75"/>
    <row r="46" ht="14.25">
      <c r="B46" s="36" t="s">
        <v>94</v>
      </c>
    </row>
    <row r="47" ht="12.75">
      <c r="B47" s="36" t="s">
        <v>87</v>
      </c>
    </row>
    <row r="48" ht="12.75"/>
    <row r="49" spans="1:8" ht="12.75">
      <c r="A49" s="6"/>
      <c r="B49" s="6"/>
      <c r="C49" s="6"/>
      <c r="D49" s="6"/>
      <c r="E49" s="6"/>
      <c r="F49" s="6"/>
      <c r="G49" s="6"/>
      <c r="H49" s="6"/>
    </row>
    <row r="50" spans="1:8" ht="12.75">
      <c r="A50" s="6"/>
      <c r="B50" s="6"/>
      <c r="C50" s="6"/>
      <c r="D50" s="6"/>
      <c r="E50" s="6"/>
      <c r="F50" s="6"/>
      <c r="G50" s="6"/>
      <c r="H50" s="6"/>
    </row>
    <row r="51" ht="12.75">
      <c r="B51" s="36" t="s">
        <v>88</v>
      </c>
    </row>
    <row r="52" ht="12.75">
      <c r="B52" s="36" t="s">
        <v>89</v>
      </c>
    </row>
    <row r="53" ht="12.75"/>
    <row r="54" spans="2:9" ht="12.75">
      <c r="B54" s="8" t="s">
        <v>90</v>
      </c>
      <c r="I54" s="32" t="s">
        <v>91</v>
      </c>
    </row>
    <row r="55" ht="12.75">
      <c r="B55" s="8"/>
    </row>
    <row r="57" ht="12.75">
      <c r="B57" s="8" t="s">
        <v>95</v>
      </c>
    </row>
    <row r="60" ht="12.75">
      <c r="B60" s="32" t="s">
        <v>167</v>
      </c>
    </row>
    <row r="61" ht="12.75">
      <c r="B61" s="71" t="s">
        <v>168</v>
      </c>
    </row>
    <row r="62" ht="12.75">
      <c r="B62" s="71" t="s">
        <v>169</v>
      </c>
    </row>
    <row r="64" ht="12.75">
      <c r="B64" s="3" t="s">
        <v>171</v>
      </c>
    </row>
    <row r="65" ht="12.75">
      <c r="B65" s="76" t="s">
        <v>172</v>
      </c>
    </row>
    <row r="66" ht="12.75">
      <c r="B66" s="71" t="s">
        <v>173</v>
      </c>
    </row>
    <row r="68" ht="12.75">
      <c r="B68" s="3" t="s">
        <v>174</v>
      </c>
    </row>
    <row r="69" ht="12.75">
      <c r="B69" s="8" t="s">
        <v>170</v>
      </c>
    </row>
    <row r="70" ht="12.75">
      <c r="B70" s="8" t="s">
        <v>131</v>
      </c>
    </row>
    <row r="71" ht="12.75">
      <c r="B71" s="8"/>
    </row>
    <row r="73" s="71" customFormat="1" ht="12.75">
      <c r="B73" s="3" t="s">
        <v>175</v>
      </c>
    </row>
    <row r="74" s="71" customFormat="1" ht="12.75">
      <c r="B74" s="71" t="s">
        <v>134</v>
      </c>
    </row>
    <row r="75" s="71" customFormat="1" ht="12.75">
      <c r="B75" s="71" t="s">
        <v>133</v>
      </c>
    </row>
    <row r="76" s="71" customFormat="1" ht="12.75">
      <c r="B76" s="71" t="s">
        <v>135</v>
      </c>
    </row>
    <row r="77" spans="2:5" s="71" customFormat="1" ht="12.75">
      <c r="B77" s="71" t="s">
        <v>136</v>
      </c>
      <c r="C77" s="71" t="s">
        <v>138</v>
      </c>
      <c r="D77" s="71">
        <v>1000</v>
      </c>
      <c r="E77" s="71" t="s">
        <v>12</v>
      </c>
    </row>
    <row r="78" spans="3:40" s="71" customFormat="1" ht="12.75">
      <c r="C78" s="71" t="s">
        <v>139</v>
      </c>
      <c r="D78" s="71">
        <v>20</v>
      </c>
      <c r="E78" s="71" t="s">
        <v>14</v>
      </c>
      <c r="Z78" s="72" t="s">
        <v>149</v>
      </c>
      <c r="AA78" s="72" t="s">
        <v>153</v>
      </c>
      <c r="AB78" s="72" t="s">
        <v>154</v>
      </c>
      <c r="AC78" s="72" t="s">
        <v>150</v>
      </c>
      <c r="AD78" s="72" t="s">
        <v>151</v>
      </c>
      <c r="AE78" s="72" t="s">
        <v>152</v>
      </c>
      <c r="AF78" s="72" t="s">
        <v>164</v>
      </c>
      <c r="AG78" s="72" t="s">
        <v>165</v>
      </c>
      <c r="AH78" s="72" t="s">
        <v>176</v>
      </c>
      <c r="AI78" s="71" t="s">
        <v>159</v>
      </c>
      <c r="AJ78" s="71" t="s">
        <v>160</v>
      </c>
      <c r="AK78" s="71" t="s">
        <v>155</v>
      </c>
      <c r="AL78" s="71" t="s">
        <v>156</v>
      </c>
      <c r="AM78" s="72" t="s">
        <v>155</v>
      </c>
      <c r="AN78" s="72" t="s">
        <v>156</v>
      </c>
    </row>
    <row r="79" spans="2:40" s="71" customFormat="1" ht="12.75">
      <c r="B79" s="71" t="s">
        <v>137</v>
      </c>
      <c r="C79" s="71" t="s">
        <v>140</v>
      </c>
      <c r="D79" s="71">
        <v>9000</v>
      </c>
      <c r="E79" s="71" t="s">
        <v>12</v>
      </c>
      <c r="Z79" s="72">
        <v>0</v>
      </c>
      <c r="AA79" s="72">
        <f>D78</f>
        <v>20</v>
      </c>
      <c r="AB79" s="72">
        <f>D80</f>
        <v>-5</v>
      </c>
      <c r="AC79" s="72">
        <f aca="true" t="shared" si="0" ref="AC79:AC86">$D$77*AA79</f>
        <v>20000</v>
      </c>
      <c r="AD79" s="72">
        <f aca="true" t="shared" si="1" ref="AD79:AD86">$D$79*AB79</f>
        <v>-45000</v>
      </c>
      <c r="AE79" s="72">
        <f aca="true" t="shared" si="2" ref="AE79:AE86">AC79+AD79</f>
        <v>-25000</v>
      </c>
      <c r="AF79" s="72">
        <f aca="true" t="shared" si="3" ref="AF79:AF86">0.5*$D$77*AA79^2+0.5*$D$79*AB79^2</f>
        <v>312500</v>
      </c>
      <c r="AG79" s="72">
        <v>0</v>
      </c>
      <c r="AH79" s="72">
        <f>$AF$79</f>
        <v>312500</v>
      </c>
      <c r="AI79" s="72">
        <v>0</v>
      </c>
      <c r="AJ79" s="72">
        <v>0</v>
      </c>
      <c r="AK79" s="72">
        <f>AI79/$D$77</f>
        <v>0</v>
      </c>
      <c r="AL79" s="72">
        <f>AJ79/$D$79</f>
        <v>0</v>
      </c>
      <c r="AM79" s="72">
        <f>(AA85-AA80)/(Z85-Z80)</f>
        <v>-22.5</v>
      </c>
      <c r="AN79" s="72">
        <f>(AB85-AB80)/(Z85-Z80)</f>
        <v>2.5</v>
      </c>
    </row>
    <row r="80" spans="3:38" s="71" customFormat="1" ht="12.75">
      <c r="C80" s="71" t="s">
        <v>141</v>
      </c>
      <c r="D80" s="75">
        <v>-5</v>
      </c>
      <c r="E80" s="71" t="s">
        <v>163</v>
      </c>
      <c r="Z80" s="72">
        <v>5</v>
      </c>
      <c r="AA80" s="72">
        <f>AA79</f>
        <v>20</v>
      </c>
      <c r="AB80" s="72">
        <f>AB79</f>
        <v>-5</v>
      </c>
      <c r="AC80" s="72">
        <f t="shared" si="0"/>
        <v>20000</v>
      </c>
      <c r="AD80" s="72">
        <f t="shared" si="1"/>
        <v>-45000</v>
      </c>
      <c r="AE80" s="72">
        <f t="shared" si="2"/>
        <v>-25000</v>
      </c>
      <c r="AF80" s="72">
        <f t="shared" si="3"/>
        <v>312500</v>
      </c>
      <c r="AG80" s="72">
        <f>$AF$79-AF80</f>
        <v>0</v>
      </c>
      <c r="AH80" s="72">
        <f aca="true" t="shared" si="4" ref="AH80:AH86">$AF$79</f>
        <v>312500</v>
      </c>
      <c r="AI80" s="72">
        <v>0</v>
      </c>
      <c r="AJ80" s="72">
        <v>0</v>
      </c>
      <c r="AK80" s="72">
        <f aca="true" t="shared" si="5" ref="AK80:AK86">AI80/$D$77</f>
        <v>0</v>
      </c>
      <c r="AL80" s="72">
        <v>0</v>
      </c>
    </row>
    <row r="81" spans="2:38" s="71" customFormat="1" ht="12.75">
      <c r="B81" s="71" t="s">
        <v>142</v>
      </c>
      <c r="C81" s="71" t="s">
        <v>143</v>
      </c>
      <c r="D81" s="71" t="s">
        <v>144</v>
      </c>
      <c r="Z81" s="72">
        <v>5.01</v>
      </c>
      <c r="AA81" s="72">
        <f>$AA$80+$AM$79*(Z81-$Z$80)</f>
        <v>19.775000000000006</v>
      </c>
      <c r="AB81" s="72">
        <f>$AB$80+$AN$79*(Z81-$Z$80)</f>
        <v>-4.9750000000000005</v>
      </c>
      <c r="AC81" s="72">
        <f t="shared" si="0"/>
        <v>19775.000000000007</v>
      </c>
      <c r="AD81" s="72">
        <f t="shared" si="1"/>
        <v>-44775.00000000001</v>
      </c>
      <c r="AE81" s="72">
        <f t="shared" si="2"/>
        <v>-25000</v>
      </c>
      <c r="AF81" s="72">
        <f t="shared" si="3"/>
        <v>306903.1250000001</v>
      </c>
      <c r="AG81" s="72">
        <f aca="true" t="shared" si="6" ref="AG81:AG86">$AF$79-AF81</f>
        <v>5596.874999999884</v>
      </c>
      <c r="AH81" s="72">
        <f t="shared" si="4"/>
        <v>312500</v>
      </c>
      <c r="AI81" s="72">
        <f>$D$77*$AM$79</f>
        <v>-22500</v>
      </c>
      <c r="AJ81" s="72">
        <f>$AN$79*$D$79</f>
        <v>22500</v>
      </c>
      <c r="AK81" s="72">
        <f t="shared" si="5"/>
        <v>-22.5</v>
      </c>
      <c r="AL81" s="72">
        <f aca="true" t="shared" si="7" ref="AL81:AL86">AJ81/$D$79</f>
        <v>2.5</v>
      </c>
    </row>
    <row r="82" spans="2:38" s="71" customFormat="1" ht="12.75">
      <c r="B82" s="71" t="s">
        <v>145</v>
      </c>
      <c r="Z82" s="72">
        <v>5.4</v>
      </c>
      <c r="AA82" s="72">
        <f>$AA$80+$AM$79*(Z82-$Z$80)</f>
        <v>10.999999999999993</v>
      </c>
      <c r="AB82" s="72">
        <f>$AB$80+$AN$79*(Z82-$Z$80)</f>
        <v>-3.999999999999999</v>
      </c>
      <c r="AC82" s="72">
        <f t="shared" si="0"/>
        <v>10999.999999999993</v>
      </c>
      <c r="AD82" s="72">
        <f t="shared" si="1"/>
        <v>-35999.99999999999</v>
      </c>
      <c r="AE82" s="72">
        <f t="shared" si="2"/>
        <v>-25000</v>
      </c>
      <c r="AF82" s="72">
        <f t="shared" si="3"/>
        <v>132499.99999999988</v>
      </c>
      <c r="AG82" s="72">
        <f t="shared" si="6"/>
        <v>180000.00000000012</v>
      </c>
      <c r="AH82" s="72">
        <f t="shared" si="4"/>
        <v>312500</v>
      </c>
      <c r="AI82" s="72">
        <f>$D$77*$AM$79</f>
        <v>-22500</v>
      </c>
      <c r="AJ82" s="72">
        <f>$AN$79*$D$79</f>
        <v>22500</v>
      </c>
      <c r="AK82" s="72">
        <f t="shared" si="5"/>
        <v>-22.5</v>
      </c>
      <c r="AL82" s="72">
        <f t="shared" si="7"/>
        <v>2.5</v>
      </c>
    </row>
    <row r="83" spans="2:38" s="71" customFormat="1" ht="12.75">
      <c r="B83" s="71" t="s">
        <v>146</v>
      </c>
      <c r="Z83" s="72">
        <v>5.6</v>
      </c>
      <c r="AA83" s="72">
        <f>$AA$80+$AM$79*(Z83-$Z$80)</f>
        <v>6.500000000000007</v>
      </c>
      <c r="AB83" s="72">
        <f>$AB$80+$AN$79*(Z83-$Z$80)</f>
        <v>-3.500000000000001</v>
      </c>
      <c r="AC83" s="72">
        <f t="shared" si="0"/>
        <v>6500.000000000007</v>
      </c>
      <c r="AD83" s="72">
        <f t="shared" si="1"/>
        <v>-31500.000000000007</v>
      </c>
      <c r="AE83" s="72">
        <f t="shared" si="2"/>
        <v>-25000</v>
      </c>
      <c r="AF83" s="72">
        <f t="shared" si="3"/>
        <v>76250.00000000007</v>
      </c>
      <c r="AG83" s="72">
        <f t="shared" si="6"/>
        <v>236249.99999999994</v>
      </c>
      <c r="AH83" s="72">
        <f t="shared" si="4"/>
        <v>312500</v>
      </c>
      <c r="AI83" s="72">
        <f>$D$77*$AM$79</f>
        <v>-22500</v>
      </c>
      <c r="AJ83" s="72">
        <f>$AN$79*$D$79</f>
        <v>22500</v>
      </c>
      <c r="AK83" s="72">
        <f t="shared" si="5"/>
        <v>-22.5</v>
      </c>
      <c r="AL83" s="72">
        <f t="shared" si="7"/>
        <v>2.5</v>
      </c>
    </row>
    <row r="84" spans="2:38" s="71" customFormat="1" ht="12.75">
      <c r="B84" s="71" t="s">
        <v>147</v>
      </c>
      <c r="Z84" s="72">
        <v>5.99</v>
      </c>
      <c r="AA84" s="72">
        <f>$AA$80+$AM$79*(Z84-$Z$80)</f>
        <v>-2.2750000000000057</v>
      </c>
      <c r="AB84" s="72">
        <f>$AB$80+$AN$79*(Z84-$Z$80)</f>
        <v>-2.5249999999999995</v>
      </c>
      <c r="AC84" s="72">
        <f t="shared" si="0"/>
        <v>-2275.0000000000055</v>
      </c>
      <c r="AD84" s="72">
        <f t="shared" si="1"/>
        <v>-22724.999999999996</v>
      </c>
      <c r="AE84" s="72">
        <f t="shared" si="2"/>
        <v>-25000</v>
      </c>
      <c r="AF84" s="72">
        <f t="shared" si="3"/>
        <v>31278.125</v>
      </c>
      <c r="AG84" s="72">
        <f t="shared" si="6"/>
        <v>281221.875</v>
      </c>
      <c r="AH84" s="72">
        <f t="shared" si="4"/>
        <v>312500</v>
      </c>
      <c r="AI84" s="72">
        <f>$D$77*$AM$79</f>
        <v>-22500</v>
      </c>
      <c r="AJ84" s="72">
        <f>$AN$79*$D$79</f>
        <v>22500</v>
      </c>
      <c r="AK84" s="72">
        <f t="shared" si="5"/>
        <v>-22.5</v>
      </c>
      <c r="AL84" s="72">
        <f t="shared" si="7"/>
        <v>2.5</v>
      </c>
    </row>
    <row r="85" spans="2:38" s="71" customFormat="1" ht="12.75">
      <c r="B85" s="71" t="s">
        <v>148</v>
      </c>
      <c r="Z85" s="72">
        <v>6</v>
      </c>
      <c r="AA85" s="72">
        <f>C86</f>
        <v>-2.5</v>
      </c>
      <c r="AB85" s="72">
        <f>AA85</f>
        <v>-2.5</v>
      </c>
      <c r="AC85" s="72">
        <f t="shared" si="0"/>
        <v>-2500</v>
      </c>
      <c r="AD85" s="72">
        <f t="shared" si="1"/>
        <v>-22500</v>
      </c>
      <c r="AE85" s="72">
        <f t="shared" si="2"/>
        <v>-25000</v>
      </c>
      <c r="AF85" s="72">
        <f t="shared" si="3"/>
        <v>31250</v>
      </c>
      <c r="AG85" s="72">
        <f t="shared" si="6"/>
        <v>281250</v>
      </c>
      <c r="AH85" s="72">
        <f t="shared" si="4"/>
        <v>312500</v>
      </c>
      <c r="AI85" s="72">
        <v>0</v>
      </c>
      <c r="AJ85" s="72">
        <v>0</v>
      </c>
      <c r="AK85" s="72">
        <f t="shared" si="5"/>
        <v>0</v>
      </c>
      <c r="AL85" s="72">
        <f t="shared" si="7"/>
        <v>0</v>
      </c>
    </row>
    <row r="86" spans="2:38" s="71" customFormat="1" ht="12.75">
      <c r="B86" s="71" t="s">
        <v>143</v>
      </c>
      <c r="C86" s="71">
        <f>(D77*D78+D79*D80)/(D77+D79)</f>
        <v>-2.5</v>
      </c>
      <c r="D86" s="71" t="s">
        <v>14</v>
      </c>
      <c r="Z86" s="72">
        <v>10</v>
      </c>
      <c r="AA86" s="72">
        <f>AA85</f>
        <v>-2.5</v>
      </c>
      <c r="AB86" s="72">
        <f>AA86</f>
        <v>-2.5</v>
      </c>
      <c r="AC86" s="72">
        <f t="shared" si="0"/>
        <v>-2500</v>
      </c>
      <c r="AD86" s="72">
        <f t="shared" si="1"/>
        <v>-22500</v>
      </c>
      <c r="AE86" s="72">
        <f t="shared" si="2"/>
        <v>-25000</v>
      </c>
      <c r="AF86" s="72">
        <f t="shared" si="3"/>
        <v>31250</v>
      </c>
      <c r="AG86" s="72">
        <f t="shared" si="6"/>
        <v>281250</v>
      </c>
      <c r="AH86" s="72">
        <f t="shared" si="4"/>
        <v>312500</v>
      </c>
      <c r="AI86" s="72">
        <v>0</v>
      </c>
      <c r="AJ86" s="72">
        <v>0</v>
      </c>
      <c r="AK86" s="72">
        <f t="shared" si="5"/>
        <v>0</v>
      </c>
      <c r="AL86" s="72">
        <f t="shared" si="7"/>
        <v>0</v>
      </c>
    </row>
    <row r="87" spans="13:19" s="71" customFormat="1" ht="12.75">
      <c r="M87" s="72"/>
      <c r="N87" s="72"/>
      <c r="O87" s="72"/>
      <c r="P87" s="72"/>
      <c r="Q87" s="72"/>
      <c r="R87" s="72"/>
      <c r="S87" s="72"/>
    </row>
    <row r="88" spans="2:19" s="71" customFormat="1" ht="12.75">
      <c r="B88" s="3" t="s">
        <v>166</v>
      </c>
      <c r="M88" s="72"/>
      <c r="N88" s="72"/>
      <c r="O88" s="72"/>
      <c r="P88" s="72"/>
      <c r="Q88" s="72"/>
      <c r="R88" s="72"/>
      <c r="S88" s="72"/>
    </row>
    <row r="89" spans="13:19" s="71" customFormat="1" ht="12.75">
      <c r="M89" s="72"/>
      <c r="N89" s="72"/>
      <c r="O89" s="72"/>
      <c r="P89" s="72"/>
      <c r="Q89" s="72"/>
      <c r="R89" s="72"/>
      <c r="S89" s="72"/>
    </row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110" ht="12.75">
      <c r="B110" s="3" t="s">
        <v>157</v>
      </c>
    </row>
    <row r="132" ht="12.75">
      <c r="B132" s="3" t="s">
        <v>158</v>
      </c>
    </row>
    <row r="159" ht="12.75">
      <c r="B159" s="3" t="s">
        <v>161</v>
      </c>
    </row>
    <row r="185" ht="12.75">
      <c r="B185" s="3" t="s">
        <v>162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2"/>
  <drawing r:id="rId11"/>
  <legacyDrawing r:id="rId10"/>
  <oleObjects>
    <oleObject progId="Equation.3" shapeId="449867" r:id="rId1"/>
    <oleObject progId="Equation.3" shapeId="459116" r:id="rId2"/>
    <oleObject progId="Equation.3" shapeId="466968" r:id="rId3"/>
    <oleObject progId="Equation.3" shapeId="529732" r:id="rId4"/>
    <oleObject progId="Equation.3" shapeId="532561" r:id="rId5"/>
    <oleObject progId="Equation.3" shapeId="663023" r:id="rId6"/>
    <oleObject progId="Equation.3" shapeId="672789" r:id="rId7"/>
    <oleObject progId="Equation.3" shapeId="804988" r:id="rId8"/>
    <oleObject progId="Equation.3" shapeId="823846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2003-01-06T20:59:08Z</dcterms:created>
  <dcterms:modified xsi:type="dcterms:W3CDTF">2007-09-20T22:28:33Z</dcterms:modified>
  <cp:category/>
  <cp:version/>
  <cp:contentType/>
  <cp:contentStatus/>
</cp:coreProperties>
</file>